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9120" activeTab="0"/>
  </bookViews>
  <sheets>
    <sheet name="Heatloss" sheetId="1" r:id="rId1"/>
    <sheet name="Lookups &amp; Conductivity" sheetId="2" r:id="rId2"/>
    <sheet name="System volume (UFH)" sheetId="3" r:id="rId3"/>
    <sheet name="Notes" sheetId="4" r:id="rId4"/>
  </sheets>
  <definedNames>
    <definedName name="Cavity_insulation">'Lookups &amp; Conductivity'!$A$28:$A$36</definedName>
    <definedName name="Ceiling">'Lookups &amp; Conductivity'!$A$45:$A$47</definedName>
    <definedName name="Doors">'Lookups &amp; Conductivity'!$A$25:$A$26</definedName>
    <definedName name="Finishes">'Lookups &amp; Conductivity'!$A$12:$A$17</definedName>
    <definedName name="Floor_Type">'Lookups &amp; Conductivity'!$A$38:$A$43</definedName>
    <definedName name="Glazing">'Lookups &amp; Conductivity'!$A$20:$A$23</definedName>
    <definedName name="_xlnm.Print_Area" localSheetId="0">'Heatloss'!$A$2:$T$37</definedName>
    <definedName name="Walls">'Lookups &amp; Conductivity'!$A$5:$A$10</definedName>
    <definedName name="Windows_Doors">'Lookups &amp; Conductivity'!$A$19:$A$26</definedName>
  </definedNames>
  <calcPr fullCalcOnLoad="1"/>
</workbook>
</file>

<file path=xl/comments1.xml><?xml version="1.0" encoding="utf-8"?>
<comments xmlns="http://schemas.openxmlformats.org/spreadsheetml/2006/main">
  <authors>
    <author>Quirk</author>
  </authors>
  <commentList>
    <comment ref="E5" authorId="0">
      <text>
        <r>
          <rPr>
            <b/>
            <sz val="8"/>
            <rFont val="Tahoma"/>
            <family val="0"/>
          </rPr>
          <t>Quirk:</t>
        </r>
        <r>
          <rPr>
            <sz val="8"/>
            <rFont val="Tahoma"/>
            <family val="0"/>
          </rPr>
          <t xml:space="preserve">
This is the total area of the wall less the area of any window or door from the row below.
</t>
        </r>
      </text>
    </comment>
    <comment ref="M3" authorId="0">
      <text>
        <r>
          <rPr>
            <b/>
            <sz val="8"/>
            <rFont val="Tahoma"/>
            <family val="0"/>
          </rPr>
          <t>Quirk:</t>
        </r>
        <r>
          <rPr>
            <sz val="8"/>
            <rFont val="Tahoma"/>
            <family val="0"/>
          </rPr>
          <t xml:space="preserve">
These come from the data in Column H in the Lookups &amp; Conductivity worksheet, these are combined U values and include the internal and external surface resistances (0.123 &amp; 0.080 respectively but see the table on the Lookups worksheet for more values) 
</t>
        </r>
      </text>
    </comment>
    <comment ref="P3" authorId="0">
      <text>
        <r>
          <rPr>
            <b/>
            <sz val="8"/>
            <rFont val="Tahoma"/>
            <family val="0"/>
          </rPr>
          <t>Quirk:</t>
        </r>
        <r>
          <rPr>
            <sz val="8"/>
            <rFont val="Tahoma"/>
            <family val="0"/>
          </rPr>
          <t xml:space="preserve">
Outside temp is assumed at -3C for external walls, 10C for cellar walls and floor in contact with the ground. Adjacent are assumed to be heated to a lower temperature of 15C</t>
        </r>
      </text>
    </comment>
    <comment ref="B17" authorId="0">
      <text>
        <r>
          <rPr>
            <b/>
            <sz val="8"/>
            <rFont val="Tahoma"/>
            <family val="0"/>
          </rPr>
          <t>Quirk:</t>
        </r>
        <r>
          <rPr>
            <sz val="8"/>
            <rFont val="Tahoma"/>
            <family val="0"/>
          </rPr>
          <t xml:space="preserve">
The live floor area is the floor area which will be underfloor heated. UFH is not fitted under kitchen units, baths, shower trays or WC's so any area these cover needs to be subtracted from the room total floor area</t>
        </r>
      </text>
    </comment>
    <comment ref="E22" authorId="0">
      <text>
        <r>
          <rPr>
            <b/>
            <sz val="8"/>
            <rFont val="Tahoma"/>
            <family val="0"/>
          </rPr>
          <t>Quirk:</t>
        </r>
        <r>
          <rPr>
            <sz val="8"/>
            <rFont val="Tahoma"/>
            <family val="0"/>
          </rPr>
          <t xml:space="preserve">
This is the total area of the wall less the area of any window or door from the row below.
</t>
        </r>
      </text>
    </comment>
    <comment ref="B34" authorId="0">
      <text>
        <r>
          <rPr>
            <b/>
            <sz val="8"/>
            <rFont val="Tahoma"/>
            <family val="0"/>
          </rPr>
          <t>Quirk:</t>
        </r>
        <r>
          <rPr>
            <sz val="8"/>
            <rFont val="Tahoma"/>
            <family val="0"/>
          </rPr>
          <t xml:space="preserve">
The live floor area is the floor area which will be underfloor heated. UFH is not fitted under kitchen units, baths, shower trays or WC's so any area these cover needs to be subtracted from the room total floor area</t>
        </r>
      </text>
    </comment>
  </commentList>
</comments>
</file>

<file path=xl/sharedStrings.xml><?xml version="1.0" encoding="utf-8"?>
<sst xmlns="http://schemas.openxmlformats.org/spreadsheetml/2006/main" count="274" uniqueCount="119">
  <si>
    <t>Room</t>
  </si>
  <si>
    <t>Wall 1</t>
  </si>
  <si>
    <t>Wall 2</t>
  </si>
  <si>
    <t>Wall 3</t>
  </si>
  <si>
    <t>Wall 4</t>
  </si>
  <si>
    <t>Floor</t>
  </si>
  <si>
    <t>Ceiling</t>
  </si>
  <si>
    <t>Windows/Doors</t>
  </si>
  <si>
    <t>U value</t>
  </si>
  <si>
    <t>Double Brick</t>
  </si>
  <si>
    <t>Total Heat loss</t>
  </si>
  <si>
    <t>Total Area</t>
  </si>
  <si>
    <t>W/hr</t>
  </si>
  <si>
    <t>Notes</t>
  </si>
  <si>
    <t>conductance (K) is measured in W/mKelvin</t>
  </si>
  <si>
    <t>U' value is 1/R</t>
  </si>
  <si>
    <t>Single Glazed Window</t>
  </si>
  <si>
    <t>Single Glazed Window with K glass</t>
  </si>
  <si>
    <t>Wooden Door (Internal)</t>
  </si>
  <si>
    <t>Wooden Door (External)</t>
  </si>
  <si>
    <t>Slab over Kingspan (100mm)</t>
  </si>
  <si>
    <t>Thickness</t>
  </si>
  <si>
    <t>Conductivity</t>
  </si>
  <si>
    <t>Thermal Resistance</t>
  </si>
  <si>
    <t>U Value</t>
  </si>
  <si>
    <t>Plaster Board (13mm inc skim)</t>
  </si>
  <si>
    <t>Insulated plaster board (Gyproc Thermaline Super) 40 mm</t>
  </si>
  <si>
    <t>Insualted plaster board (Gyproc Thermaline Super) 50 mm</t>
  </si>
  <si>
    <t>Insualted plaster board (Gyproc Thermaline Super) 60 mm</t>
  </si>
  <si>
    <t>Mineral Wool (Batt or Slab)</t>
  </si>
  <si>
    <t>Surface Resistance (Internal)</t>
  </si>
  <si>
    <t>Surface Resistance (External)</t>
  </si>
  <si>
    <t>Two layers of brick, no cavity</t>
  </si>
  <si>
    <t>This worksheet contains the technical data to calculate the combined 'U' values used in the heat loss sheet</t>
  </si>
  <si>
    <t>No value here. Research shows that film is good for reflecting solar gain but poor at limiting thermal conductivity</t>
  </si>
  <si>
    <t>Double Glazed with Argon Filling</t>
  </si>
  <si>
    <t>Double Glazed with Argon filling and K glass</t>
  </si>
  <si>
    <t>No value here: Pilkington do not recommend the use of K glass in sigle glazed applications</t>
  </si>
  <si>
    <t>[m]</t>
  </si>
  <si>
    <t>[m^2]</t>
  </si>
  <si>
    <t>(Select from drop down list)</t>
  </si>
  <si>
    <t>[W/m^2.K]</t>
  </si>
  <si>
    <t xml:space="preserve">Room temp </t>
  </si>
  <si>
    <t>[°C]</t>
  </si>
  <si>
    <t>Width</t>
  </si>
  <si>
    <t>Height</t>
  </si>
  <si>
    <t>Outside temp</t>
  </si>
  <si>
    <t>∆t</t>
  </si>
  <si>
    <t>[W/hr]</t>
  </si>
  <si>
    <t>Heatloss</t>
  </si>
  <si>
    <t>Use Rsi =0.123 and Rse = 0.080  for the internal and external surface resistances respectively or choose the appropriate values for your building from the table below:</t>
  </si>
  <si>
    <t>resistance 'R' is thickness of material in metres divided by the conductance (L/K)</t>
  </si>
  <si>
    <t>For layers of different U materials add up the conductance values for each element and then calculate U = 1/ K total not forgetting to add the surface resistance values (see below)</t>
  </si>
  <si>
    <t>Internal surface resistances (Rsi)</t>
  </si>
  <si>
    <t>Walls</t>
  </si>
  <si>
    <t>Floors &amp; Ceilings for upward heat flow</t>
  </si>
  <si>
    <t>Floors &amp; Ceilings for downward heat flow</t>
  </si>
  <si>
    <t>External surface resistance</t>
  </si>
  <si>
    <t>Surface</t>
  </si>
  <si>
    <t>Exposure</t>
  </si>
  <si>
    <t>Sheltered</t>
  </si>
  <si>
    <t>Normal</t>
  </si>
  <si>
    <t>Severe</t>
  </si>
  <si>
    <t>Wall - High Emissivity</t>
  </si>
  <si>
    <t>Wall - Low Emissivity</t>
  </si>
  <si>
    <t>Roof - High Emissivity</t>
  </si>
  <si>
    <t>Roof - Low Emissivity</t>
  </si>
  <si>
    <t>Floor - High Emissivity</t>
  </si>
  <si>
    <t>Sheltered - town buildings to 3 storeys</t>
  </si>
  <si>
    <t>Normal - town buildings 4 to 8 storeys and most suburban premises</t>
  </si>
  <si>
    <t>Severe - &gt; 9 storeys in towns, 5 storeys eleswhere and any buildings on exposed coasts or hills</t>
  </si>
  <si>
    <t>from the Building Construction Handbook, 8th Edition, Page 469</t>
  </si>
  <si>
    <t xml:space="preserve">Live floor area </t>
  </si>
  <si>
    <t>Required heat output from UFH</t>
  </si>
  <si>
    <t>W/m^2</t>
  </si>
  <si>
    <t>Kitchen</t>
  </si>
  <si>
    <t>Insulated plaster Board (Gyproc Thermaline Basic) 22 mm</t>
  </si>
  <si>
    <t>Concrete Block (Light weight)</t>
  </si>
  <si>
    <t>Wall Construction (For Single Leaf Wall just fill in 'Outer Leaf' and 'Interior Finish' leave other columns blank</t>
  </si>
  <si>
    <t>Cavity</t>
  </si>
  <si>
    <t>Inner Leaf</t>
  </si>
  <si>
    <t>None</t>
  </si>
  <si>
    <t>Concrete Block (Medium Weigth)</t>
  </si>
  <si>
    <t>Single Brick (Outer Leaf of Wall</t>
  </si>
  <si>
    <t>Single Brick (Inner Leaf of Wall)</t>
  </si>
  <si>
    <t>Construction Type Single Elements</t>
  </si>
  <si>
    <t>Expanded Polystyrene Slab</t>
  </si>
  <si>
    <t>Phenolic Foam Board</t>
  </si>
  <si>
    <t>Polyurethane Board</t>
  </si>
  <si>
    <t>Urea formaldehyde foam (post build installation)</t>
  </si>
  <si>
    <t>Blown in mineral wool*</t>
  </si>
  <si>
    <t>Concrete (100mm) over  Phenolic Board (100mm)</t>
  </si>
  <si>
    <t xml:space="preserve">Concrete (100mm)   </t>
  </si>
  <si>
    <t>Floor Boards (Softwood 22mm)</t>
  </si>
  <si>
    <t>Floor Boards (Chip board, 19mm)</t>
  </si>
  <si>
    <t>Floor Boads (Hardwood 22mm)</t>
  </si>
  <si>
    <t>Windows &amp; Doors</t>
  </si>
  <si>
    <t>Outer Leaf (Including Surface Resistance)</t>
  </si>
  <si>
    <t>Wall Interior Finish (Including Surface Resistance)</t>
  </si>
  <si>
    <t>Plaster Board With (100mm mineral wool and skim)</t>
  </si>
  <si>
    <t>Finishes</t>
  </si>
  <si>
    <t>Windows_Doors</t>
  </si>
  <si>
    <t>Cavity_insulation</t>
  </si>
  <si>
    <t>Floor_Type</t>
  </si>
  <si>
    <t>[W/m^2.k]</t>
  </si>
  <si>
    <t>Air (100 mm)</t>
  </si>
  <si>
    <t>Air (50 mm)</t>
  </si>
  <si>
    <t>Pipe internal diameter</t>
  </si>
  <si>
    <t>mm</t>
  </si>
  <si>
    <t>Cicuit Length</t>
  </si>
  <si>
    <t>metres</t>
  </si>
  <si>
    <t>Circuit Volume</t>
  </si>
  <si>
    <t>Litres</t>
  </si>
  <si>
    <t>Secondary Double Glazed (4mm Hard E Coat glass)</t>
  </si>
  <si>
    <t>Bathroom</t>
  </si>
  <si>
    <t>Total length</t>
  </si>
  <si>
    <t>Ceiling (Only fill in on the Ceiling row)</t>
  </si>
  <si>
    <t>Floor Type (Only fill in on the floor row)</t>
  </si>
  <si>
    <r>
      <rPr>
        <b/>
        <sz val="16"/>
        <rFont val="Arial"/>
        <family val="2"/>
      </rPr>
      <t>*************************  Notes on Use  **********************************</t>
    </r>
    <r>
      <rPr>
        <sz val="11"/>
        <rFont val="Arial"/>
        <family val="2"/>
      </rPr>
      <t xml:space="preserve">
For each room take a wall and fill the details of the construction in across the page, then move to the next row and fill in the next wall.
The order in which the walls is filled in is not relevant. The floor and ceiling infromation only needs to be filled in on the floor and ceiling rows.
Don't forget to fill in the delta T section for each wall, ceiling and floor on the far right.
Use the Required Heat Output value to calculate (or check) required pipe spacings. I've used pipe with 10W/meter so the spacing between rows needs to be (Required Heat Output Value)/10. This will give the maximum pipe spacing in Metres. In reality most systems use 150 or 120 mm spacing unless the pipework is installed free hand. You need to make sure that your system has enough output to overcome the heat losses.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</si>
</sst>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
    <numFmt numFmtId="165" formatCode="0.0000000000"/>
    <numFmt numFmtId="166" formatCode="0.00000000"/>
    <numFmt numFmtId="167" formatCode="0.0000000"/>
    <numFmt numFmtId="168" formatCode="0.000000"/>
    <numFmt numFmtId="169" formatCode="0.00000"/>
    <numFmt numFmtId="170" formatCode="0.0000"/>
    <numFmt numFmtId="171" formatCode="0.000"/>
  </numFmts>
  <fonts count="50">
    <font>
      <sz val="10"/>
      <name val="Arial"/>
      <family val="0"/>
    </font>
    <font>
      <sz val="11"/>
      <color indexed="8"/>
      <name val="Calibri"/>
      <family val="2"/>
    </font>
    <font>
      <b/>
      <sz val="10"/>
      <name val="Arial"/>
      <family val="2"/>
    </font>
    <font>
      <sz val="10"/>
      <color indexed="10"/>
      <name val="Arial"/>
      <family val="0"/>
    </font>
    <font>
      <sz val="8"/>
      <name val="Tahoma"/>
      <family val="0"/>
    </font>
    <font>
      <b/>
      <sz val="8"/>
      <name val="Tahoma"/>
      <family val="0"/>
    </font>
    <font>
      <b/>
      <sz val="12"/>
      <name val="Arial"/>
      <family val="2"/>
    </font>
    <font>
      <b/>
      <i/>
      <sz val="10"/>
      <color indexed="10"/>
      <name val="Arial"/>
      <family val="2"/>
    </font>
    <font>
      <u val="single"/>
      <sz val="10"/>
      <color indexed="12"/>
      <name val="Arial"/>
      <family val="0"/>
    </font>
    <font>
      <u val="single"/>
      <sz val="10"/>
      <color indexed="36"/>
      <name val="Arial"/>
      <family val="0"/>
    </font>
    <font>
      <b/>
      <i/>
      <sz val="12"/>
      <name val="Arial"/>
      <family val="2"/>
    </font>
    <font>
      <sz val="8"/>
      <name val="Arial"/>
      <family val="0"/>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name val="Arial"/>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Alignment="1" quotePrefix="1">
      <alignment/>
    </xf>
    <xf numFmtId="0" fontId="3" fillId="0" borderId="0" xfId="0" applyFont="1"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2" fontId="0" fillId="0" borderId="0" xfId="0" applyNumberFormat="1" applyAlignment="1">
      <alignment/>
    </xf>
    <xf numFmtId="2" fontId="2" fillId="0" borderId="0" xfId="0" applyNumberFormat="1" applyFont="1" applyAlignment="1">
      <alignment/>
    </xf>
    <xf numFmtId="2" fontId="0" fillId="0" borderId="0" xfId="0" applyNumberFormat="1" applyAlignment="1">
      <alignment horizontal="center"/>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0" fillId="0" borderId="0" xfId="0" applyFont="1" applyAlignment="1">
      <alignment horizontal="center"/>
    </xf>
    <xf numFmtId="0" fontId="7" fillId="0" borderId="0" xfId="0" applyFont="1" applyAlignment="1">
      <alignment/>
    </xf>
    <xf numFmtId="0" fontId="0" fillId="0" borderId="16" xfId="0" applyBorder="1" applyAlignment="1">
      <alignment/>
    </xf>
    <xf numFmtId="0" fontId="0" fillId="0" borderId="0" xfId="0" applyBorder="1" applyAlignment="1">
      <alignment wrapText="1"/>
    </xf>
    <xf numFmtId="0" fontId="0" fillId="0" borderId="14" xfId="0" applyBorder="1" applyAlignment="1">
      <alignment/>
    </xf>
    <xf numFmtId="0" fontId="0" fillId="0" borderId="15" xfId="0" applyBorder="1" applyAlignment="1">
      <alignment/>
    </xf>
    <xf numFmtId="0" fontId="10" fillId="0" borderId="17" xfId="0" applyFont="1" applyBorder="1" applyAlignment="1">
      <alignment/>
    </xf>
    <xf numFmtId="0" fontId="0" fillId="0" borderId="11" xfId="0" applyBorder="1" applyAlignment="1">
      <alignment wrapText="1"/>
    </xf>
    <xf numFmtId="0" fontId="10" fillId="0" borderId="11" xfId="0" applyFont="1" applyBorder="1" applyAlignment="1">
      <alignment/>
    </xf>
    <xf numFmtId="0" fontId="0" fillId="0" borderId="0" xfId="0" applyFont="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applyAlignment="1">
      <alignment wrapText="1"/>
    </xf>
    <xf numFmtId="0" fontId="0" fillId="0" borderId="0" xfId="0" applyAlignment="1">
      <alignment wrapText="1"/>
    </xf>
    <xf numFmtId="0" fontId="12" fillId="0" borderId="0" xfId="0" applyFont="1" applyAlignment="1">
      <alignment horizontal="left" wrapText="1"/>
    </xf>
    <xf numFmtId="0" fontId="12" fillId="0" borderId="0" xfId="0" applyFont="1" applyAlignment="1">
      <alignment horizontal="left"/>
    </xf>
    <xf numFmtId="2" fontId="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5" name="List3" displayName="List3" ref="A3:E50" comment="" totalsRowShown="0">
  <autoFilter ref="A3:E50"/>
  <tableColumns count="5">
    <tableColumn id="1" name="Construction Type Single Elements"/>
    <tableColumn id="2" name="Thickness"/>
    <tableColumn id="3" name="Conductivity"/>
    <tableColumn id="4" name="Thermal Resistance"/>
    <tableColumn id="5" name="U Valu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36"/>
  <sheetViews>
    <sheetView showZeros="0" tabSelected="1" view="pageBreakPreview" zoomScaleSheetLayoutView="100" zoomScalePageLayoutView="0" workbookViewId="0" topLeftCell="A1">
      <pane ySplit="3" topLeftCell="A4" activePane="bottomLeft" state="frozen"/>
      <selection pane="topLeft" activeCell="A1" sqref="A1"/>
      <selection pane="bottomLeft" activeCell="T24" sqref="T24"/>
    </sheetView>
  </sheetViews>
  <sheetFormatPr defaultColWidth="9.140625" defaultRowHeight="12.75"/>
  <cols>
    <col min="1" max="1" width="6.28125" style="0" bestFit="1" customWidth="1"/>
    <col min="2" max="2" width="14.140625" style="0" bestFit="1" customWidth="1"/>
    <col min="3" max="3" width="10.28125" style="0" bestFit="1" customWidth="1"/>
    <col min="4" max="4" width="9.7109375" style="0" bestFit="1" customWidth="1"/>
    <col min="5" max="5" width="10.421875" style="0" bestFit="1" customWidth="1"/>
    <col min="6" max="12" width="50.8515625" style="0" customWidth="1"/>
    <col min="13" max="13" width="10.28125" style="0" customWidth="1"/>
    <col min="14" max="14" width="12.00390625" style="0" customWidth="1"/>
    <col min="15" max="15" width="15.28125" style="0" bestFit="1" customWidth="1"/>
    <col min="16" max="16" width="15.57421875" style="0" bestFit="1" customWidth="1"/>
    <col min="17" max="17" width="6.421875" style="0" bestFit="1" customWidth="1"/>
    <col min="18" max="18" width="14.7109375" style="0" bestFit="1" customWidth="1"/>
    <col min="19" max="19" width="5.28125" style="0" bestFit="1" customWidth="1"/>
    <col min="28" max="28" width="50.00390625" style="0" bestFit="1" customWidth="1"/>
    <col min="29" max="29" width="11.421875" style="0" customWidth="1"/>
    <col min="30" max="30" width="13.7109375" style="0" customWidth="1"/>
    <col min="31" max="31" width="20.421875" style="0" customWidth="1"/>
    <col min="32" max="32" width="9.7109375" style="0" customWidth="1"/>
  </cols>
  <sheetData>
    <row r="1" spans="1:7" ht="122.25" customHeight="1">
      <c r="A1" s="38" t="s">
        <v>118</v>
      </c>
      <c r="B1" s="39"/>
      <c r="C1" s="39"/>
      <c r="D1" s="39"/>
      <c r="E1" s="39"/>
      <c r="F1" s="39"/>
      <c r="G1" s="39"/>
    </row>
    <row r="2" spans="1:30" s="34" customFormat="1" ht="28.5" customHeight="1">
      <c r="A2" s="33" t="s">
        <v>0</v>
      </c>
      <c r="B2" s="33" t="s">
        <v>75</v>
      </c>
      <c r="C2" s="33"/>
      <c r="D2" s="33"/>
      <c r="E2" s="33"/>
      <c r="F2" s="33"/>
      <c r="G2" s="36" t="s">
        <v>78</v>
      </c>
      <c r="H2" s="37"/>
      <c r="I2" s="37"/>
      <c r="J2" s="37"/>
      <c r="M2" s="33"/>
      <c r="N2" s="33"/>
      <c r="O2" s="33"/>
      <c r="P2" s="33"/>
      <c r="Q2" s="33"/>
      <c r="R2" s="33"/>
      <c r="S2" s="33"/>
      <c r="AB2" s="35"/>
      <c r="AC2" s="35"/>
      <c r="AD2" s="35"/>
    </row>
    <row r="3" spans="1:19" s="6" customFormat="1" ht="15.75">
      <c r="A3" s="5"/>
      <c r="B3" s="5"/>
      <c r="C3" s="5" t="s">
        <v>45</v>
      </c>
      <c r="D3" s="5" t="s">
        <v>44</v>
      </c>
      <c r="E3" s="5" t="s">
        <v>11</v>
      </c>
      <c r="F3" s="5" t="s">
        <v>96</v>
      </c>
      <c r="G3" s="5" t="s">
        <v>97</v>
      </c>
      <c r="H3" s="5" t="s">
        <v>79</v>
      </c>
      <c r="I3" s="5" t="s">
        <v>80</v>
      </c>
      <c r="J3" s="5" t="s">
        <v>98</v>
      </c>
      <c r="K3" s="5" t="s">
        <v>117</v>
      </c>
      <c r="L3" s="5" t="s">
        <v>116</v>
      </c>
      <c r="M3" s="5" t="s">
        <v>8</v>
      </c>
      <c r="N3" s="5" t="s">
        <v>8</v>
      </c>
      <c r="O3" s="5" t="s">
        <v>42</v>
      </c>
      <c r="P3" s="5" t="s">
        <v>46</v>
      </c>
      <c r="Q3" s="7" t="s">
        <v>47</v>
      </c>
      <c r="R3" s="5" t="s">
        <v>49</v>
      </c>
      <c r="S3" s="5"/>
    </row>
    <row r="4" spans="1:19" s="6" customFormat="1" ht="12.75">
      <c r="A4" s="5"/>
      <c r="B4" s="5"/>
      <c r="C4" s="5" t="s">
        <v>38</v>
      </c>
      <c r="D4" s="5" t="s">
        <v>38</v>
      </c>
      <c r="E4" s="5" t="s">
        <v>39</v>
      </c>
      <c r="F4" s="23" t="s">
        <v>40</v>
      </c>
      <c r="G4" s="23" t="s">
        <v>40</v>
      </c>
      <c r="H4" s="23" t="s">
        <v>40</v>
      </c>
      <c r="I4" s="23" t="s">
        <v>40</v>
      </c>
      <c r="J4" s="23" t="s">
        <v>40</v>
      </c>
      <c r="K4" s="23" t="s">
        <v>40</v>
      </c>
      <c r="L4" s="23" t="s">
        <v>40</v>
      </c>
      <c r="M4" s="5" t="s">
        <v>41</v>
      </c>
      <c r="N4" s="5" t="s">
        <v>104</v>
      </c>
      <c r="O4" s="5" t="s">
        <v>43</v>
      </c>
      <c r="P4" s="5" t="s">
        <v>43</v>
      </c>
      <c r="Q4" s="5" t="s">
        <v>43</v>
      </c>
      <c r="R4" s="5" t="s">
        <v>48</v>
      </c>
      <c r="S4" s="5"/>
    </row>
    <row r="5" spans="2:18" ht="12.75">
      <c r="B5" t="s">
        <v>1</v>
      </c>
      <c r="C5">
        <v>2.3</v>
      </c>
      <c r="D5">
        <v>3.5</v>
      </c>
      <c r="E5">
        <f>(C5*D5)-E6</f>
        <v>8.049999999999999</v>
      </c>
      <c r="F5" t="str">
        <f>'Lookups &amp; Conductivity'!$A$5</f>
        <v>None</v>
      </c>
      <c r="G5" t="s">
        <v>9</v>
      </c>
      <c r="H5" t="s">
        <v>81</v>
      </c>
      <c r="I5" t="s">
        <v>81</v>
      </c>
      <c r="J5" t="s">
        <v>27</v>
      </c>
      <c r="K5" t="s">
        <v>81</v>
      </c>
      <c r="L5" t="s">
        <v>81</v>
      </c>
      <c r="M5" s="10">
        <f>1/(VLOOKUP(F5,'Lookups &amp; Conductivity'!$A$4:$E$50,4,FALSE)+(VLOOKUP(G5,'Lookups &amp; Conductivity'!$A$4:$E$50,4,FALSE)+0.123)+VLOOKUP(H5,'Lookups &amp; Conductivity'!$A$4:$E$50,4,FALSE)+VLOOKUP(I5,'Lookups &amp; Conductivity'!$A$4:$E$50,4,FALSE)+(VLOOKUP(J5,'Lookups &amp; Conductivity'!$A$4:$E$50,4,FALSE)+0.08)+VLOOKUP(K5,'Lookups &amp; Conductivity'!$A$4:$E$50,4,FALSE)+VLOOKUP(L5,'Lookups &amp; Conductivity'!$A$4:$E$50,4,FALSE))</f>
        <v>0.4137278852594666</v>
      </c>
      <c r="N5" s="10">
        <f>IF(M5=(1/(0.123+0.08)),0,M5)</f>
        <v>0.4137278852594666</v>
      </c>
      <c r="O5" s="6">
        <v>20</v>
      </c>
      <c r="P5" s="6">
        <v>-3</v>
      </c>
      <c r="Q5" s="6">
        <f>O5-P5</f>
        <v>23</v>
      </c>
      <c r="R5" s="10">
        <f>E5*N5*Q5</f>
        <v>76.60171795579022</v>
      </c>
    </row>
    <row r="6" spans="2:18" ht="12.75">
      <c r="B6" t="s">
        <v>7</v>
      </c>
      <c r="C6">
        <v>0</v>
      </c>
      <c r="D6">
        <v>0</v>
      </c>
      <c r="E6">
        <f>C6*D6</f>
        <v>0</v>
      </c>
      <c r="F6" t="s">
        <v>81</v>
      </c>
      <c r="G6" t="str">
        <f>'Lookups &amp; Conductivity'!$A$5</f>
        <v>None</v>
      </c>
      <c r="H6" t="str">
        <f>'Lookups &amp; Conductivity'!$A$5</f>
        <v>None</v>
      </c>
      <c r="I6" t="str">
        <f>'Lookups &amp; Conductivity'!$A$5</f>
        <v>None</v>
      </c>
      <c r="J6" t="str">
        <f>'Lookups &amp; Conductivity'!$A$5</f>
        <v>None</v>
      </c>
      <c r="K6" t="str">
        <f>'Lookups &amp; Conductivity'!$A$5</f>
        <v>None</v>
      </c>
      <c r="L6" t="str">
        <f>'Lookups &amp; Conductivity'!$A$5</f>
        <v>None</v>
      </c>
      <c r="M6" s="10">
        <f>1/(VLOOKUP(F6,'Lookups &amp; Conductivity'!$A$4:$E$50,4,FALSE)+(VLOOKUP(G6,'Lookups &amp; Conductivity'!$A$4:$E$50,4,FALSE)+0.123)+VLOOKUP(H6,'Lookups &amp; Conductivity'!$A$4:$E$50,4,FALSE)+VLOOKUP(I6,'Lookups &amp; Conductivity'!$A$4:$E$50,4,FALSE)+(VLOOKUP(J6,'Lookups &amp; Conductivity'!$A$4:$E$50,4,FALSE)+0.08)+VLOOKUP(K6,'Lookups &amp; Conductivity'!$A$4:$E$50,4,FALSE)+VLOOKUP(L6,'Lookups &amp; Conductivity'!$A$4:$E$50,4,FALSE))</f>
        <v>4.926108374384236</v>
      </c>
      <c r="N6" s="10">
        <f aca="true" t="shared" si="0" ref="N6:N14">IF(M6=(1/(0.123+0.08)),0,M6)</f>
        <v>0</v>
      </c>
      <c r="O6" s="6"/>
      <c r="P6" s="6">
        <v>0</v>
      </c>
      <c r="Q6" s="6">
        <f>O6-P6</f>
        <v>0</v>
      </c>
      <c r="R6" s="10">
        <f aca="true" t="shared" si="1" ref="R6:R11">E6*N6*Q6</f>
        <v>0</v>
      </c>
    </row>
    <row r="7" spans="2:18" ht="12.75">
      <c r="B7" t="s">
        <v>2</v>
      </c>
      <c r="C7">
        <v>2.3</v>
      </c>
      <c r="D7">
        <v>3.65</v>
      </c>
      <c r="E7">
        <f>(C7*D7)-E8</f>
        <v>8.395</v>
      </c>
      <c r="F7" t="str">
        <f>'Lookups &amp; Conductivity'!$A$5</f>
        <v>None</v>
      </c>
      <c r="G7" t="s">
        <v>9</v>
      </c>
      <c r="H7" t="str">
        <f>'Lookups &amp; Conductivity'!$A$5</f>
        <v>None</v>
      </c>
      <c r="I7" t="str">
        <f>'Lookups &amp; Conductivity'!$A$5</f>
        <v>None</v>
      </c>
      <c r="J7" t="s">
        <v>27</v>
      </c>
      <c r="K7" t="str">
        <f>'Lookups &amp; Conductivity'!$A$5</f>
        <v>None</v>
      </c>
      <c r="L7" t="str">
        <f>'Lookups &amp; Conductivity'!$A$5</f>
        <v>None</v>
      </c>
      <c r="M7" s="10">
        <f>1/(VLOOKUP(F7,'Lookups &amp; Conductivity'!$A$4:$E$50,4,FALSE)+(VLOOKUP(G7,'Lookups &amp; Conductivity'!$A$4:$E$50,4,FALSE)+0.123)+VLOOKUP(H7,'Lookups &amp; Conductivity'!$A$4:$E$50,4,FALSE)+VLOOKUP(I7,'Lookups &amp; Conductivity'!$A$4:$E$50,4,FALSE)+(VLOOKUP(J7,'Lookups &amp; Conductivity'!$A$4:$E$50,4,FALSE)+0.08)+VLOOKUP(K7,'Lookups &amp; Conductivity'!$A$4:$E$50,4,FALSE)+VLOOKUP(L7,'Lookups &amp; Conductivity'!$A$4:$E$50,4,FALSE))</f>
        <v>0.4137278852594666</v>
      </c>
      <c r="N7" s="10">
        <f t="shared" si="0"/>
        <v>0.4137278852594666</v>
      </c>
      <c r="O7" s="6">
        <v>20</v>
      </c>
      <c r="P7" s="6">
        <v>15</v>
      </c>
      <c r="Q7" s="6">
        <f>O7-P7</f>
        <v>5</v>
      </c>
      <c r="R7" s="10">
        <f t="shared" si="1"/>
        <v>17.36622798376611</v>
      </c>
    </row>
    <row r="8" spans="2:18" ht="12.75">
      <c r="B8" t="s">
        <v>7</v>
      </c>
      <c r="F8" t="str">
        <f>'Lookups &amp; Conductivity'!$A$5</f>
        <v>None</v>
      </c>
      <c r="G8" t="str">
        <f>'Lookups &amp; Conductivity'!$A$5</f>
        <v>None</v>
      </c>
      <c r="H8" t="str">
        <f>'Lookups &amp; Conductivity'!$A$5</f>
        <v>None</v>
      </c>
      <c r="I8" t="str">
        <f>'Lookups &amp; Conductivity'!$A$5</f>
        <v>None</v>
      </c>
      <c r="J8" t="str">
        <f>'Lookups &amp; Conductivity'!$A$5</f>
        <v>None</v>
      </c>
      <c r="K8" t="str">
        <f>'Lookups &amp; Conductivity'!$A$5</f>
        <v>None</v>
      </c>
      <c r="L8" t="str">
        <f>'Lookups &amp; Conductivity'!$A$5</f>
        <v>None</v>
      </c>
      <c r="M8" s="10">
        <f>1/(VLOOKUP(F8,'Lookups &amp; Conductivity'!$A$4:$E$50,4,FALSE)+(VLOOKUP(G8,'Lookups &amp; Conductivity'!$A$4:$E$50,4,FALSE)+0.123)+VLOOKUP(H8,'Lookups &amp; Conductivity'!$A$4:$E$50,4,FALSE)+VLOOKUP(I8,'Lookups &amp; Conductivity'!$A$4:$E$50,4,FALSE)+(VLOOKUP(J8,'Lookups &amp; Conductivity'!$A$4:$E$50,4,FALSE)+0.08)+VLOOKUP(K8,'Lookups &amp; Conductivity'!$A$4:$E$50,4,FALSE)+VLOOKUP(L8,'Lookups &amp; Conductivity'!$A$4:$E$50,4,FALSE))</f>
        <v>4.926108374384236</v>
      </c>
      <c r="N8" s="10">
        <f t="shared" si="0"/>
        <v>0</v>
      </c>
      <c r="O8" s="6"/>
      <c r="P8" s="6"/>
      <c r="Q8" s="6"/>
      <c r="R8" s="10">
        <f t="shared" si="1"/>
        <v>0</v>
      </c>
    </row>
    <row r="9" spans="2:18" ht="12.75">
      <c r="B9" t="s">
        <v>3</v>
      </c>
      <c r="C9">
        <v>2.3</v>
      </c>
      <c r="D9">
        <v>3.5</v>
      </c>
      <c r="E9">
        <f>(C9*D9)-E10</f>
        <v>6.249999999999999</v>
      </c>
      <c r="F9" t="str">
        <f>'Lookups &amp; Conductivity'!$A$5</f>
        <v>None</v>
      </c>
      <c r="G9" t="s">
        <v>9</v>
      </c>
      <c r="H9" t="str">
        <f>'Lookups &amp; Conductivity'!$A$5</f>
        <v>None</v>
      </c>
      <c r="I9" t="str">
        <f>'Lookups &amp; Conductivity'!$A$5</f>
        <v>None</v>
      </c>
      <c r="J9" t="s">
        <v>27</v>
      </c>
      <c r="K9" t="str">
        <f>'Lookups &amp; Conductivity'!$A$5</f>
        <v>None</v>
      </c>
      <c r="L9" t="str">
        <f>'Lookups &amp; Conductivity'!$A$5</f>
        <v>None</v>
      </c>
      <c r="M9" s="10">
        <f>1/(VLOOKUP(F9,'Lookups &amp; Conductivity'!$A$4:$E$50,4,FALSE)+(VLOOKUP(G9,'Lookups &amp; Conductivity'!$A$4:$E$50,4,FALSE)+0.123)+VLOOKUP(H9,'Lookups &amp; Conductivity'!$A$4:$E$50,4,FALSE)+VLOOKUP(I9,'Lookups &amp; Conductivity'!$A$4:$E$50,4,FALSE)+(VLOOKUP(J9,'Lookups &amp; Conductivity'!$A$4:$E$50,4,FALSE)+0.08)+VLOOKUP(K9,'Lookups &amp; Conductivity'!$A$4:$E$50,4,FALSE)+VLOOKUP(L9,'Lookups &amp; Conductivity'!$A$4:$E$50,4,FALSE))</f>
        <v>0.4137278852594666</v>
      </c>
      <c r="N9" s="10">
        <f t="shared" si="0"/>
        <v>0.4137278852594666</v>
      </c>
      <c r="O9" s="6">
        <v>20</v>
      </c>
      <c r="P9" s="6">
        <v>-3</v>
      </c>
      <c r="Q9" s="6">
        <f>O9-P9</f>
        <v>23</v>
      </c>
      <c r="R9" s="10">
        <f t="shared" si="1"/>
        <v>59.473383506048314</v>
      </c>
    </row>
    <row r="10" spans="2:18" ht="12.75">
      <c r="B10" t="s">
        <v>7</v>
      </c>
      <c r="C10">
        <v>1.8</v>
      </c>
      <c r="D10">
        <v>1</v>
      </c>
      <c r="E10">
        <f>C10*D10</f>
        <v>1.8</v>
      </c>
      <c r="F10" t="s">
        <v>17</v>
      </c>
      <c r="G10" t="str">
        <f>'Lookups &amp; Conductivity'!$A$5</f>
        <v>None</v>
      </c>
      <c r="H10" t="str">
        <f>'Lookups &amp; Conductivity'!$A$5</f>
        <v>None</v>
      </c>
      <c r="I10" t="str">
        <f>'Lookups &amp; Conductivity'!$A$5</f>
        <v>None</v>
      </c>
      <c r="J10" t="str">
        <f>'Lookups &amp; Conductivity'!$A$5</f>
        <v>None</v>
      </c>
      <c r="K10" t="str">
        <f>'Lookups &amp; Conductivity'!$A$5</f>
        <v>None</v>
      </c>
      <c r="L10" t="str">
        <f>'Lookups &amp; Conductivity'!$A$5</f>
        <v>None</v>
      </c>
      <c r="M10" s="10">
        <f>1/(VLOOKUP(F10,'Lookups &amp; Conductivity'!$A$4:$E$50,4,FALSE)+(VLOOKUP(G10,'Lookups &amp; Conductivity'!$A$4:$E$50,4,FALSE)+0.123)+VLOOKUP(H10,'Lookups &amp; Conductivity'!$A$4:$E$50,4,FALSE)+VLOOKUP(I10,'Lookups &amp; Conductivity'!$A$4:$E$50,4,FALSE)+(VLOOKUP(J10,'Lookups &amp; Conductivity'!$A$4:$E$50,4,FALSE)+0.08)+VLOOKUP(K10,'Lookups &amp; Conductivity'!$A$4:$E$50,4,FALSE)+VLOOKUP(L10,'Lookups &amp; Conductivity'!$A$4:$E$50,4,FALSE))</f>
        <v>1.6330988970733236</v>
      </c>
      <c r="N10" s="10">
        <f t="shared" si="0"/>
        <v>1.6330988970733236</v>
      </c>
      <c r="O10" s="6">
        <v>20</v>
      </c>
      <c r="P10" s="6">
        <v>-3</v>
      </c>
      <c r="Q10" s="6">
        <f>O10-P10</f>
        <v>23</v>
      </c>
      <c r="R10" s="10">
        <f t="shared" si="1"/>
        <v>67.61029433883559</v>
      </c>
    </row>
    <row r="11" spans="2:18" ht="12.75">
      <c r="B11" t="s">
        <v>4</v>
      </c>
      <c r="C11">
        <v>2.3</v>
      </c>
      <c r="D11">
        <v>3.65</v>
      </c>
      <c r="E11">
        <f>(C11*D11)-E12</f>
        <v>8.395</v>
      </c>
      <c r="F11" t="str">
        <f>'Lookups &amp; Conductivity'!$A$5</f>
        <v>None</v>
      </c>
      <c r="G11" t="s">
        <v>9</v>
      </c>
      <c r="H11" t="str">
        <f>'Lookups &amp; Conductivity'!$A$5</f>
        <v>None</v>
      </c>
      <c r="I11" t="str">
        <f>'Lookups &amp; Conductivity'!$A$5</f>
        <v>None</v>
      </c>
      <c r="J11" t="s">
        <v>27</v>
      </c>
      <c r="K11" t="str">
        <f>'Lookups &amp; Conductivity'!$A$5</f>
        <v>None</v>
      </c>
      <c r="L11" t="str">
        <f>'Lookups &amp; Conductivity'!$A$5</f>
        <v>None</v>
      </c>
      <c r="M11" s="10">
        <f>1/(VLOOKUP(F11,'Lookups &amp; Conductivity'!$A$4:$E$50,4,FALSE)+(VLOOKUP(G11,'Lookups &amp; Conductivity'!$A$4:$E$50,4,FALSE)+0.123)+VLOOKUP(H11,'Lookups &amp; Conductivity'!$A$4:$E$50,4,FALSE)+VLOOKUP(I11,'Lookups &amp; Conductivity'!$A$4:$E$50,4,FALSE)+(VLOOKUP(J11,'Lookups &amp; Conductivity'!$A$4:$E$50,4,FALSE)+0.08)+VLOOKUP(K11,'Lookups &amp; Conductivity'!$A$4:$E$50,4,FALSE)+VLOOKUP(L11,'Lookups &amp; Conductivity'!$A$4:$E$50,4,FALSE))</f>
        <v>0.4137278852594666</v>
      </c>
      <c r="N11" s="10">
        <f t="shared" si="0"/>
        <v>0.4137278852594666</v>
      </c>
      <c r="O11" s="6">
        <v>20</v>
      </c>
      <c r="P11" s="6">
        <v>15</v>
      </c>
      <c r="Q11" s="6">
        <f>O11-P11</f>
        <v>5</v>
      </c>
      <c r="R11" s="10">
        <f t="shared" si="1"/>
        <v>17.36622798376611</v>
      </c>
    </row>
    <row r="12" spans="2:18" ht="12.75">
      <c r="B12" t="s">
        <v>7</v>
      </c>
      <c r="F12" t="str">
        <f>'Lookups &amp; Conductivity'!$A$5</f>
        <v>None</v>
      </c>
      <c r="G12" t="str">
        <f>'Lookups &amp; Conductivity'!$A$5</f>
        <v>None</v>
      </c>
      <c r="H12" t="str">
        <f>'Lookups &amp; Conductivity'!$A$5</f>
        <v>None</v>
      </c>
      <c r="I12" t="str">
        <f>'Lookups &amp; Conductivity'!$A$5</f>
        <v>None</v>
      </c>
      <c r="J12" t="str">
        <f>'Lookups &amp; Conductivity'!$A$5</f>
        <v>None</v>
      </c>
      <c r="K12" t="str">
        <f>'Lookups &amp; Conductivity'!$A$5</f>
        <v>None</v>
      </c>
      <c r="L12" t="str">
        <f>'Lookups &amp; Conductivity'!$A$5</f>
        <v>None</v>
      </c>
      <c r="M12" s="10">
        <f>1/(VLOOKUP(F12,'Lookups &amp; Conductivity'!$A$4:$E$50,4,FALSE)+(VLOOKUP(G12,'Lookups &amp; Conductivity'!$A$4:$E$50,4,FALSE)+0.123)+VLOOKUP(H12,'Lookups &amp; Conductivity'!$A$4:$E$50,4,FALSE)+VLOOKUP(I12,'Lookups &amp; Conductivity'!$A$4:$E$50,4,FALSE)+(VLOOKUP(J12,'Lookups &amp; Conductivity'!$A$4:$E$50,4,FALSE)+0.08)+VLOOKUP(K12,'Lookups &amp; Conductivity'!$A$4:$E$50,4,FALSE)+VLOOKUP(L12,'Lookups &amp; Conductivity'!$A$4:$E$50,4,FALSE))</f>
        <v>4.926108374384236</v>
      </c>
      <c r="N12" s="10">
        <f t="shared" si="0"/>
        <v>0</v>
      </c>
      <c r="O12" s="6"/>
      <c r="P12" s="6"/>
      <c r="Q12" s="6"/>
      <c r="R12" s="10">
        <f aca="true" t="shared" si="2" ref="R6:R14">E12*N12*Q12</f>
        <v>0</v>
      </c>
    </row>
    <row r="13" spans="2:18" ht="12.75">
      <c r="B13" t="s">
        <v>5</v>
      </c>
      <c r="C13">
        <v>3.5</v>
      </c>
      <c r="D13">
        <v>3.65</v>
      </c>
      <c r="E13">
        <f>C13*D13</f>
        <v>12.775</v>
      </c>
      <c r="F13" t="str">
        <f>'Lookups &amp; Conductivity'!$A$5</f>
        <v>None</v>
      </c>
      <c r="G13" t="str">
        <f>'Lookups &amp; Conductivity'!$A$5</f>
        <v>None</v>
      </c>
      <c r="H13" t="str">
        <f>'Lookups &amp; Conductivity'!$A$5</f>
        <v>None</v>
      </c>
      <c r="I13" t="str">
        <f>'Lookups &amp; Conductivity'!$A$5</f>
        <v>None</v>
      </c>
      <c r="J13" t="str">
        <f>'Lookups &amp; Conductivity'!$A$5</f>
        <v>None</v>
      </c>
      <c r="K13" t="s">
        <v>91</v>
      </c>
      <c r="L13" t="str">
        <f>'Lookups &amp; Conductivity'!$A$5</f>
        <v>None</v>
      </c>
      <c r="M13" s="10">
        <f>1/(VLOOKUP(F13,'Lookups &amp; Conductivity'!$A$4:$E$50,4,FALSE)+(VLOOKUP(G13,'Lookups &amp; Conductivity'!$A$4:$E$50,4,FALSE)+0.123)+VLOOKUP(H13,'Lookups &amp; Conductivity'!$A$4:$E$50,4,FALSE)+VLOOKUP(I13,'Lookups &amp; Conductivity'!$A$4:$E$50,4,FALSE)+(VLOOKUP(J13,'Lookups &amp; Conductivity'!$A$4:$E$50,4,FALSE)+0.08)+VLOOKUP(K13,'Lookups &amp; Conductivity'!$A$4:$E$50,4,FALSE)+VLOOKUP(L13,'Lookups &amp; Conductivity'!$A$4:$E$50,4,FALSE))</f>
        <v>0.28116824907671367</v>
      </c>
      <c r="N13" s="10">
        <f t="shared" si="0"/>
        <v>0.28116824907671367</v>
      </c>
      <c r="O13" s="6">
        <v>20</v>
      </c>
      <c r="P13" s="6">
        <v>10</v>
      </c>
      <c r="Q13" s="6">
        <f>O13-P13</f>
        <v>10</v>
      </c>
      <c r="R13" s="10">
        <f t="shared" si="2"/>
        <v>35.91924381955017</v>
      </c>
    </row>
    <row r="14" spans="2:18" ht="12.75">
      <c r="B14" t="s">
        <v>6</v>
      </c>
      <c r="C14">
        <v>3.5</v>
      </c>
      <c r="D14">
        <v>3.65</v>
      </c>
      <c r="E14">
        <f>C14*D14</f>
        <v>12.775</v>
      </c>
      <c r="F14" t="str">
        <f>'Lookups &amp; Conductivity'!$A$5</f>
        <v>None</v>
      </c>
      <c r="G14" t="str">
        <f>'Lookups &amp; Conductivity'!$A$5</f>
        <v>None</v>
      </c>
      <c r="H14" t="str">
        <f>'Lookups &amp; Conductivity'!$A$5</f>
        <v>None</v>
      </c>
      <c r="I14" t="str">
        <f>'Lookups &amp; Conductivity'!$A$5</f>
        <v>None</v>
      </c>
      <c r="J14" t="str">
        <f>'Lookups &amp; Conductivity'!$A$5</f>
        <v>None</v>
      </c>
      <c r="K14" t="str">
        <f>'Lookups &amp; Conductivity'!$A$5</f>
        <v>None</v>
      </c>
      <c r="L14" t="s">
        <v>99</v>
      </c>
      <c r="M14" s="10">
        <f>1/(VLOOKUP(F14,'Lookups &amp; Conductivity'!$A$4:$E$50,4,FALSE)+(VLOOKUP(G14,'Lookups &amp; Conductivity'!$A$4:$E$50,4,FALSE)+0.123)+VLOOKUP(H14,'Lookups &amp; Conductivity'!$A$4:$E$50,4,FALSE)+VLOOKUP(I14,'Lookups &amp; Conductivity'!$A$4:$E$50,4,FALSE)+(VLOOKUP(J14,'Lookups &amp; Conductivity'!$A$4:$E$50,4,FALSE)+0.08)+VLOOKUP(K14,'Lookups &amp; Conductivity'!$A$4:$E$50,4,FALSE)+VLOOKUP(L14,'Lookups &amp; Conductivity'!$A$4:$E$50,4,FALSE))</f>
        <v>0.3311455649674484</v>
      </c>
      <c r="N14" s="10">
        <f t="shared" si="0"/>
        <v>0.3311455649674484</v>
      </c>
      <c r="O14" s="6">
        <v>20</v>
      </c>
      <c r="P14" s="6">
        <v>20</v>
      </c>
      <c r="Q14" s="6">
        <f>O14-P14</f>
        <v>0</v>
      </c>
      <c r="R14" s="10">
        <f t="shared" si="2"/>
        <v>0</v>
      </c>
    </row>
    <row r="15" spans="13:18" ht="12.75">
      <c r="M15" s="10"/>
      <c r="N15" s="10"/>
      <c r="R15" s="8"/>
    </row>
    <row r="16" spans="16:19" ht="12.75">
      <c r="P16" s="1" t="s">
        <v>10</v>
      </c>
      <c r="Q16" s="1"/>
      <c r="R16" s="9">
        <f>SUM(R5:R14)</f>
        <v>274.3370955877565</v>
      </c>
      <c r="S16" s="1" t="s">
        <v>12</v>
      </c>
    </row>
    <row r="17" spans="2:5" ht="12.75">
      <c r="B17" t="s">
        <v>72</v>
      </c>
      <c r="E17">
        <v>9.895</v>
      </c>
    </row>
    <row r="18" spans="15:20" ht="12.75">
      <c r="O18" s="1" t="s">
        <v>73</v>
      </c>
      <c r="P18" s="1"/>
      <c r="Q18" s="1"/>
      <c r="R18" s="9">
        <f>R16/E17</f>
        <v>27.7248201705666</v>
      </c>
      <c r="S18" s="1" t="s">
        <v>74</v>
      </c>
      <c r="T18" s="1"/>
    </row>
    <row r="19" spans="1:2" ht="12.75">
      <c r="A19" s="1" t="s">
        <v>0</v>
      </c>
      <c r="B19" s="1" t="s">
        <v>114</v>
      </c>
    </row>
    <row r="20" spans="1:5" ht="12.75">
      <c r="A20" s="5"/>
      <c r="B20" s="5"/>
      <c r="C20" s="5" t="s">
        <v>45</v>
      </c>
      <c r="D20" s="5" t="s">
        <v>44</v>
      </c>
      <c r="E20" s="5" t="s">
        <v>11</v>
      </c>
    </row>
    <row r="21" spans="1:19" s="6" customFormat="1" ht="15.75">
      <c r="A21" s="5"/>
      <c r="B21" s="5"/>
      <c r="C21" s="5" t="s">
        <v>38</v>
      </c>
      <c r="D21" s="5" t="s">
        <v>38</v>
      </c>
      <c r="E21" s="5" t="s">
        <v>39</v>
      </c>
      <c r="F21" s="5"/>
      <c r="G21" s="5"/>
      <c r="H21" s="5"/>
      <c r="I21" s="5"/>
      <c r="J21" s="5"/>
      <c r="K21" s="5"/>
      <c r="L21" s="5"/>
      <c r="M21" s="5"/>
      <c r="N21" s="5"/>
      <c r="O21" s="5"/>
      <c r="P21" s="5"/>
      <c r="Q21" s="7"/>
      <c r="R21" s="5"/>
      <c r="S21" s="5"/>
    </row>
    <row r="22" spans="1:19" s="6" customFormat="1" ht="12.75">
      <c r="A22"/>
      <c r="B22" t="s">
        <v>1</v>
      </c>
      <c r="C22">
        <v>2.4</v>
      </c>
      <c r="D22">
        <v>1.55</v>
      </c>
      <c r="E22">
        <f>(C22*D22)-E23</f>
        <v>2.295</v>
      </c>
      <c r="F22" t="s">
        <v>81</v>
      </c>
      <c r="G22" t="s">
        <v>9</v>
      </c>
      <c r="H22" t="s">
        <v>81</v>
      </c>
      <c r="I22" t="s">
        <v>81</v>
      </c>
      <c r="J22" t="s">
        <v>27</v>
      </c>
      <c r="K22" t="s">
        <v>81</v>
      </c>
      <c r="L22" t="s">
        <v>81</v>
      </c>
      <c r="M22" s="40">
        <f>1/(VLOOKUP(F22,'Lookups &amp; Conductivity'!$A$4:$E$50,4,FALSE)+(VLOOKUP(G22,'Lookups &amp; Conductivity'!$A$4:$E$50,4,FALSE)+0.123)+VLOOKUP(H22,'Lookups &amp; Conductivity'!$A$4:$E$50,4,FALSE)+VLOOKUP(I22,'Lookups &amp; Conductivity'!$A$4:$E$50,4,FALSE)+(VLOOKUP(J22,'Lookups &amp; Conductivity'!$A$4:$E$50,4,FALSE)+0.08)+VLOOKUP(K22,'Lookups &amp; Conductivity'!$A$4:$E$50,4,FALSE)+VLOOKUP(L22,'Lookups &amp; Conductivity'!$A$4:$E$50,4,FALSE))</f>
        <v>0.4137278852594666</v>
      </c>
      <c r="N22" s="40">
        <f>IF(M22=(1/(0.123+0.08)),0,M22)</f>
        <v>0.4137278852594666</v>
      </c>
      <c r="O22" s="23">
        <v>22</v>
      </c>
      <c r="P22" s="23">
        <v>-3</v>
      </c>
      <c r="Q22" s="23">
        <f>O22-P22</f>
        <v>25</v>
      </c>
      <c r="R22" s="40">
        <f>E22*N22*Q22</f>
        <v>23.737637416761896</v>
      </c>
      <c r="S22" s="5"/>
    </row>
    <row r="23" spans="2:18" ht="12.75">
      <c r="B23" t="s">
        <v>7</v>
      </c>
      <c r="C23">
        <v>1.5</v>
      </c>
      <c r="D23">
        <v>0.95</v>
      </c>
      <c r="E23">
        <f>C23*D23</f>
        <v>1.4249999999999998</v>
      </c>
      <c r="F23" t="s">
        <v>113</v>
      </c>
      <c r="G23" t="s">
        <v>81</v>
      </c>
      <c r="H23" t="s">
        <v>81</v>
      </c>
      <c r="I23" t="s">
        <v>81</v>
      </c>
      <c r="J23" t="s">
        <v>81</v>
      </c>
      <c r="K23" t="s">
        <v>81</v>
      </c>
      <c r="L23" t="s">
        <v>81</v>
      </c>
      <c r="M23" s="40">
        <f>1/(VLOOKUP(F23,'Lookups &amp; Conductivity'!$A$4:$E$50,4,FALSE)+(VLOOKUP(G23,'Lookups &amp; Conductivity'!$A$4:$E$50,4,FALSE)+0.123)+VLOOKUP(H23,'Lookups &amp; Conductivity'!$A$4:$E$50,4,FALSE)+VLOOKUP(I23,'Lookups &amp; Conductivity'!$A$4:$E$50,4,FALSE)+(VLOOKUP(J23,'Lookups &amp; Conductivity'!$A$4:$E$50,4,FALSE)+0.08)+VLOOKUP(K23,'Lookups &amp; Conductivity'!$A$4:$E$50,4,FALSE)+VLOOKUP(L23,'Lookups &amp; Conductivity'!$A$4:$E$50,4,FALSE))</f>
        <v>1.3544044245811353</v>
      </c>
      <c r="N23" s="40">
        <f aca="true" t="shared" si="3" ref="N23:N31">IF(M23=(1/(0.123+0.08)),0,M23)</f>
        <v>1.3544044245811353</v>
      </c>
      <c r="O23" s="23">
        <v>22</v>
      </c>
      <c r="P23" s="23">
        <v>-3</v>
      </c>
      <c r="Q23" s="23">
        <f aca="true" t="shared" si="4" ref="Q23:Q31">O23-P23</f>
        <v>25</v>
      </c>
      <c r="R23" s="40">
        <f aca="true" t="shared" si="5" ref="R23:R31">E23*N23*Q23</f>
        <v>48.25065762570294</v>
      </c>
    </row>
    <row r="24" spans="2:18" ht="12.75">
      <c r="B24" t="s">
        <v>2</v>
      </c>
      <c r="C24">
        <v>2.4</v>
      </c>
      <c r="D24">
        <v>2</v>
      </c>
      <c r="E24">
        <f>(C24*D24)-E25</f>
        <v>3.375</v>
      </c>
      <c r="F24" t="s">
        <v>81</v>
      </c>
      <c r="G24" t="s">
        <v>82</v>
      </c>
      <c r="H24" t="s">
        <v>81</v>
      </c>
      <c r="I24" t="s">
        <v>81</v>
      </c>
      <c r="J24" t="s">
        <v>25</v>
      </c>
      <c r="K24" t="s">
        <v>81</v>
      </c>
      <c r="L24" t="s">
        <v>81</v>
      </c>
      <c r="M24" s="40">
        <f>1/(VLOOKUP(F24,'Lookups &amp; Conductivity'!$A$4:$E$50,4,FALSE)+(VLOOKUP(G24,'Lookups &amp; Conductivity'!$A$4:$E$50,4,FALSE)+0.123)+VLOOKUP(H24,'Lookups &amp; Conductivity'!$A$4:$E$50,4,FALSE)+VLOOKUP(I24,'Lookups &amp; Conductivity'!$A$4:$E$50,4,FALSE)+(VLOOKUP(J24,'Lookups &amp; Conductivity'!$A$4:$E$50,4,FALSE)+0.08)+VLOOKUP(K24,'Lookups &amp; Conductivity'!$A$4:$E$50,4,FALSE)+VLOOKUP(L24,'Lookups &amp; Conductivity'!$A$4:$E$50,4,FALSE))</f>
        <v>2.11448120405741</v>
      </c>
      <c r="N24" s="40">
        <f t="shared" si="3"/>
        <v>2.11448120405741</v>
      </c>
      <c r="O24" s="23">
        <v>22</v>
      </c>
      <c r="P24" s="23">
        <v>20</v>
      </c>
      <c r="Q24" s="23">
        <f t="shared" si="4"/>
        <v>2</v>
      </c>
      <c r="R24" s="40">
        <f t="shared" si="5"/>
        <v>14.27274812738752</v>
      </c>
    </row>
    <row r="25" spans="2:18" ht="12.75">
      <c r="B25" t="s">
        <v>7</v>
      </c>
      <c r="C25">
        <v>1.5</v>
      </c>
      <c r="D25">
        <v>0.95</v>
      </c>
      <c r="E25">
        <f>C25*D25</f>
        <v>1.4249999999999998</v>
      </c>
      <c r="F25" t="s">
        <v>81</v>
      </c>
      <c r="G25" t="s">
        <v>81</v>
      </c>
      <c r="H25" t="s">
        <v>81</v>
      </c>
      <c r="I25" t="s">
        <v>81</v>
      </c>
      <c r="J25" t="s">
        <v>81</v>
      </c>
      <c r="K25" t="s">
        <v>81</v>
      </c>
      <c r="L25" t="s">
        <v>81</v>
      </c>
      <c r="M25" s="40">
        <f>1/(VLOOKUP(F25,'Lookups &amp; Conductivity'!$A$4:$E$50,4,FALSE)+(VLOOKUP(G25,'Lookups &amp; Conductivity'!$A$4:$E$50,4,FALSE)+0.123)+VLOOKUP(H25,'Lookups &amp; Conductivity'!$A$4:$E$50,4,FALSE)+VLOOKUP(I25,'Lookups &amp; Conductivity'!$A$4:$E$50,4,FALSE)+(VLOOKUP(J25,'Lookups &amp; Conductivity'!$A$4:$E$50,4,FALSE)+0.08)+VLOOKUP(K25,'Lookups &amp; Conductivity'!$A$4:$E$50,4,FALSE)+VLOOKUP(L25,'Lookups &amp; Conductivity'!$A$4:$E$50,4,FALSE))</f>
        <v>4.926108374384236</v>
      </c>
      <c r="N25" s="40">
        <f t="shared" si="3"/>
        <v>0</v>
      </c>
      <c r="O25" s="23">
        <v>22</v>
      </c>
      <c r="P25" s="23">
        <v>20</v>
      </c>
      <c r="Q25" s="23">
        <f t="shared" si="4"/>
        <v>2</v>
      </c>
      <c r="R25" s="40">
        <f t="shared" si="5"/>
        <v>0</v>
      </c>
    </row>
    <row r="26" spans="2:18" ht="12.75">
      <c r="B26" t="s">
        <v>3</v>
      </c>
      <c r="C26">
        <v>2.4</v>
      </c>
      <c r="D26">
        <v>2</v>
      </c>
      <c r="E26">
        <f>(C26*D26)-E27</f>
        <v>3.375</v>
      </c>
      <c r="F26" t="s">
        <v>81</v>
      </c>
      <c r="G26" t="s">
        <v>82</v>
      </c>
      <c r="H26" t="s">
        <v>81</v>
      </c>
      <c r="I26" t="s">
        <v>81</v>
      </c>
      <c r="J26" t="s">
        <v>25</v>
      </c>
      <c r="K26" t="s">
        <v>81</v>
      </c>
      <c r="L26" t="s">
        <v>81</v>
      </c>
      <c r="M26" s="40">
        <f>1/(VLOOKUP(F26,'Lookups &amp; Conductivity'!$A$4:$E$50,4,FALSE)+(VLOOKUP(G26,'Lookups &amp; Conductivity'!$A$4:$E$50,4,FALSE)+0.123)+VLOOKUP(H26,'Lookups &amp; Conductivity'!$A$4:$E$50,4,FALSE)+VLOOKUP(I26,'Lookups &amp; Conductivity'!$A$4:$E$50,4,FALSE)+(VLOOKUP(J26,'Lookups &amp; Conductivity'!$A$4:$E$50,4,FALSE)+0.08)+VLOOKUP(K26,'Lookups &amp; Conductivity'!$A$4:$E$50,4,FALSE)+VLOOKUP(L26,'Lookups &amp; Conductivity'!$A$4:$E$50,4,FALSE))</f>
        <v>2.11448120405741</v>
      </c>
      <c r="N26" s="40">
        <f t="shared" si="3"/>
        <v>2.11448120405741</v>
      </c>
      <c r="O26" s="23">
        <v>22</v>
      </c>
      <c r="P26" s="23">
        <v>20</v>
      </c>
      <c r="Q26" s="23">
        <f t="shared" si="4"/>
        <v>2</v>
      </c>
      <c r="R26" s="40">
        <f t="shared" si="5"/>
        <v>14.27274812738752</v>
      </c>
    </row>
    <row r="27" spans="2:18" ht="12.75">
      <c r="B27" t="s">
        <v>7</v>
      </c>
      <c r="C27">
        <v>1.5</v>
      </c>
      <c r="D27">
        <v>0.95</v>
      </c>
      <c r="E27">
        <f>C27*D27</f>
        <v>1.4249999999999998</v>
      </c>
      <c r="F27" t="s">
        <v>81</v>
      </c>
      <c r="G27" t="s">
        <v>81</v>
      </c>
      <c r="H27" t="s">
        <v>81</v>
      </c>
      <c r="I27" t="s">
        <v>81</v>
      </c>
      <c r="J27" t="s">
        <v>81</v>
      </c>
      <c r="K27" t="s">
        <v>81</v>
      </c>
      <c r="L27" t="s">
        <v>81</v>
      </c>
      <c r="M27" s="40">
        <f>1/(VLOOKUP(F27,'Lookups &amp; Conductivity'!$A$4:$E$50,4,FALSE)+(VLOOKUP(G27,'Lookups &amp; Conductivity'!$A$4:$E$50,4,FALSE)+0.123)+VLOOKUP(H27,'Lookups &amp; Conductivity'!$A$4:$E$50,4,FALSE)+VLOOKUP(I27,'Lookups &amp; Conductivity'!$A$4:$E$50,4,FALSE)+(VLOOKUP(J27,'Lookups &amp; Conductivity'!$A$4:$E$50,4,FALSE)+0.08)+VLOOKUP(K27,'Lookups &amp; Conductivity'!$A$4:$E$50,4,FALSE)+VLOOKUP(L27,'Lookups &amp; Conductivity'!$A$4:$E$50,4,FALSE))</f>
        <v>4.926108374384236</v>
      </c>
      <c r="N27" s="40">
        <f t="shared" si="3"/>
        <v>0</v>
      </c>
      <c r="O27" s="23">
        <v>22</v>
      </c>
      <c r="P27" s="23">
        <v>20</v>
      </c>
      <c r="Q27" s="23">
        <f t="shared" si="4"/>
        <v>2</v>
      </c>
      <c r="R27" s="40">
        <f t="shared" si="5"/>
        <v>0</v>
      </c>
    </row>
    <row r="28" spans="2:18" ht="12.75">
      <c r="B28" t="s">
        <v>4</v>
      </c>
      <c r="C28">
        <v>2.4</v>
      </c>
      <c r="D28">
        <v>2.2</v>
      </c>
      <c r="E28">
        <f>(C28*D28)-E29</f>
        <v>5.28</v>
      </c>
      <c r="F28" t="s">
        <v>81</v>
      </c>
      <c r="G28" t="s">
        <v>9</v>
      </c>
      <c r="H28" t="s">
        <v>81</v>
      </c>
      <c r="I28" t="s">
        <v>81</v>
      </c>
      <c r="J28" t="s">
        <v>76</v>
      </c>
      <c r="K28" t="s">
        <v>81</v>
      </c>
      <c r="L28" t="s">
        <v>81</v>
      </c>
      <c r="M28" s="40">
        <f>1/(VLOOKUP(F28,'Lookups &amp; Conductivity'!$A$4:$E$50,4,FALSE)+(VLOOKUP(G28,'Lookups &amp; Conductivity'!$A$4:$E$50,4,FALSE)+0.123)+VLOOKUP(H28,'Lookups &amp; Conductivity'!$A$4:$E$50,4,FALSE)+VLOOKUP(I28,'Lookups &amp; Conductivity'!$A$4:$E$50,4,FALSE)+(VLOOKUP(J28,'Lookups &amp; Conductivity'!$A$4:$E$50,4,FALSE)+0.08)+VLOOKUP(K28,'Lookups &amp; Conductivity'!$A$4:$E$50,4,FALSE)+VLOOKUP(L28,'Lookups &amp; Conductivity'!$A$4:$E$50,4,FALSE))</f>
        <v>1.254630182817541</v>
      </c>
      <c r="N28" s="40">
        <f t="shared" si="3"/>
        <v>1.254630182817541</v>
      </c>
      <c r="O28" s="23">
        <v>22</v>
      </c>
      <c r="P28" s="23">
        <v>15</v>
      </c>
      <c r="Q28" s="23">
        <f t="shared" si="4"/>
        <v>7</v>
      </c>
      <c r="R28" s="40">
        <f t="shared" si="5"/>
        <v>46.37113155693632</v>
      </c>
    </row>
    <row r="29" spans="2:18" ht="12.75">
      <c r="B29" t="s">
        <v>7</v>
      </c>
      <c r="F29" t="s">
        <v>81</v>
      </c>
      <c r="G29" t="s">
        <v>81</v>
      </c>
      <c r="H29" t="s">
        <v>81</v>
      </c>
      <c r="I29" t="s">
        <v>81</v>
      </c>
      <c r="J29" t="s">
        <v>81</v>
      </c>
      <c r="K29" t="s">
        <v>81</v>
      </c>
      <c r="L29" t="s">
        <v>81</v>
      </c>
      <c r="M29" s="40">
        <f>1/(VLOOKUP(F29,'Lookups &amp; Conductivity'!$A$4:$E$50,4,FALSE)+(VLOOKUP(G29,'Lookups &amp; Conductivity'!$A$4:$E$50,4,FALSE)+0.123)+VLOOKUP(H29,'Lookups &amp; Conductivity'!$A$4:$E$50,4,FALSE)+VLOOKUP(I29,'Lookups &amp; Conductivity'!$A$4:$E$50,4,FALSE)+(VLOOKUP(J29,'Lookups &amp; Conductivity'!$A$4:$E$50,4,FALSE)+0.08)+VLOOKUP(K29,'Lookups &amp; Conductivity'!$A$4:$E$50,4,FALSE)+VLOOKUP(L29,'Lookups &amp; Conductivity'!$A$4:$E$50,4,FALSE))</f>
        <v>4.926108374384236</v>
      </c>
      <c r="N29" s="40">
        <f t="shared" si="3"/>
        <v>0</v>
      </c>
      <c r="O29" s="23">
        <v>22</v>
      </c>
      <c r="P29" s="23">
        <v>15</v>
      </c>
      <c r="Q29" s="23">
        <f t="shared" si="4"/>
        <v>7</v>
      </c>
      <c r="R29" s="40">
        <f t="shared" si="5"/>
        <v>0</v>
      </c>
    </row>
    <row r="30" spans="2:18" ht="12.75">
      <c r="B30" t="s">
        <v>5</v>
      </c>
      <c r="C30">
        <v>2.2</v>
      </c>
      <c r="D30">
        <v>2</v>
      </c>
      <c r="E30">
        <f>C30*D30</f>
        <v>4.4</v>
      </c>
      <c r="F30" t="s">
        <v>81</v>
      </c>
      <c r="G30" t="s">
        <v>81</v>
      </c>
      <c r="H30" t="s">
        <v>81</v>
      </c>
      <c r="I30" t="s">
        <v>81</v>
      </c>
      <c r="J30" t="s">
        <v>81</v>
      </c>
      <c r="K30" t="s">
        <v>91</v>
      </c>
      <c r="L30" t="s">
        <v>81</v>
      </c>
      <c r="M30" s="40">
        <f>1/(VLOOKUP(F30,'Lookups &amp; Conductivity'!$A$4:$E$50,4,FALSE)+(VLOOKUP(G30,'Lookups &amp; Conductivity'!$A$4:$E$50,4,FALSE)+0.123)+VLOOKUP(H30,'Lookups &amp; Conductivity'!$A$4:$E$50,4,FALSE)+VLOOKUP(I30,'Lookups &amp; Conductivity'!$A$4:$E$50,4,FALSE)+(VLOOKUP(J30,'Lookups &amp; Conductivity'!$A$4:$E$50,4,FALSE)+0.08)+VLOOKUP(K30,'Lookups &amp; Conductivity'!$A$4:$E$50,4,FALSE)+VLOOKUP(L30,'Lookups &amp; Conductivity'!$A$4:$E$50,4,FALSE))</f>
        <v>0.28116824907671367</v>
      </c>
      <c r="N30" s="40">
        <f t="shared" si="3"/>
        <v>0.28116824907671367</v>
      </c>
      <c r="O30" s="23">
        <v>22</v>
      </c>
      <c r="P30" s="23">
        <v>10</v>
      </c>
      <c r="Q30" s="23">
        <f t="shared" si="4"/>
        <v>12</v>
      </c>
      <c r="R30" s="40">
        <f t="shared" si="5"/>
        <v>14.845683551250481</v>
      </c>
    </row>
    <row r="31" spans="2:18" ht="12.75">
      <c r="B31" t="s">
        <v>6</v>
      </c>
      <c r="C31">
        <v>2.2</v>
      </c>
      <c r="D31">
        <v>2</v>
      </c>
      <c r="E31">
        <f>C31*D31</f>
        <v>4.4</v>
      </c>
      <c r="F31" t="s">
        <v>81</v>
      </c>
      <c r="G31" t="s">
        <v>81</v>
      </c>
      <c r="H31" t="s">
        <v>81</v>
      </c>
      <c r="I31" t="s">
        <v>81</v>
      </c>
      <c r="J31" t="s">
        <v>81</v>
      </c>
      <c r="K31" t="s">
        <v>81</v>
      </c>
      <c r="L31" t="s">
        <v>99</v>
      </c>
      <c r="M31" s="40">
        <f>1/(VLOOKUP(F31,'Lookups &amp; Conductivity'!$A$4:$E$50,4,FALSE)+(VLOOKUP(G31,'Lookups &amp; Conductivity'!$A$4:$E$50,4,FALSE)+0.123)+VLOOKUP(H31,'Lookups &amp; Conductivity'!$A$4:$E$50,4,FALSE)+VLOOKUP(I31,'Lookups &amp; Conductivity'!$A$4:$E$50,4,FALSE)+(VLOOKUP(J31,'Lookups &amp; Conductivity'!$A$4:$E$50,4,FALSE)+0.08)+VLOOKUP(K31,'Lookups &amp; Conductivity'!$A$4:$E$50,4,FALSE)+VLOOKUP(L31,'Lookups &amp; Conductivity'!$A$4:$E$50,4,FALSE))</f>
        <v>0.3311455649674484</v>
      </c>
      <c r="N31" s="40">
        <f t="shared" si="3"/>
        <v>0.3311455649674484</v>
      </c>
      <c r="O31" s="23">
        <v>22</v>
      </c>
      <c r="P31" s="23">
        <v>20</v>
      </c>
      <c r="Q31" s="23">
        <f t="shared" si="4"/>
        <v>2</v>
      </c>
      <c r="R31" s="40">
        <f t="shared" si="5"/>
        <v>2.9140809717135463</v>
      </c>
    </row>
    <row r="32" spans="13:18" ht="12.75">
      <c r="M32" s="10"/>
      <c r="N32" s="10"/>
      <c r="O32" s="6"/>
      <c r="P32" s="6"/>
      <c r="Q32" s="6"/>
      <c r="R32" s="10"/>
    </row>
    <row r="33" spans="15:19" ht="12.75">
      <c r="O33" s="1"/>
      <c r="P33" s="1" t="s">
        <v>10</v>
      </c>
      <c r="Q33" s="1"/>
      <c r="R33" s="9">
        <f>SUM(R22:R31)</f>
        <v>164.66468737714024</v>
      </c>
      <c r="S33" s="1" t="s">
        <v>12</v>
      </c>
    </row>
    <row r="34" spans="2:19" ht="12.75">
      <c r="B34" t="s">
        <v>72</v>
      </c>
      <c r="E34">
        <v>2.79</v>
      </c>
      <c r="O34" s="1"/>
      <c r="P34" s="1"/>
      <c r="Q34" s="1"/>
      <c r="R34" s="9"/>
      <c r="S34" s="1"/>
    </row>
    <row r="35" spans="15:19" ht="12.75">
      <c r="O35" s="1" t="s">
        <v>73</v>
      </c>
      <c r="P35" s="1"/>
      <c r="Q35" s="1"/>
      <c r="R35" s="9">
        <f>R33/E34</f>
        <v>59.01960121044453</v>
      </c>
      <c r="S35" s="1" t="s">
        <v>74</v>
      </c>
    </row>
    <row r="36" spans="15:20" ht="12.75">
      <c r="O36" s="1"/>
      <c r="P36" s="1"/>
      <c r="Q36" s="1"/>
      <c r="R36" s="9"/>
      <c r="S36" s="1"/>
      <c r="T36" s="1"/>
    </row>
  </sheetData>
  <sheetProtection/>
  <mergeCells count="2">
    <mergeCell ref="G2:J2"/>
    <mergeCell ref="A1:G1"/>
  </mergeCells>
  <dataValidations count="8">
    <dataValidation type="list" allowBlank="1" showInputMessage="1" showErrorMessage="1" sqref="G5:G14 I5:I14 G22:G31 I22:I31">
      <formula1>Walls</formula1>
    </dataValidation>
    <dataValidation type="list" allowBlank="1" showInputMessage="1" showErrorMessage="1" sqref="J5:J14 J22:J31">
      <formula1>Finishes</formula1>
    </dataValidation>
    <dataValidation type="list" allowBlank="1" showInputMessage="1" showErrorMessage="1" sqref="H5:H14 H22:H31">
      <formula1>Cavity_insulation</formula1>
    </dataValidation>
    <dataValidation type="list" allowBlank="1" showInputMessage="1" showErrorMessage="1" sqref="K5:K14 K22:K31">
      <formula1>Floor_Type</formula1>
    </dataValidation>
    <dataValidation type="list" allowBlank="1" showInputMessage="1" showErrorMessage="1" sqref="F5:F14 F22:F31">
      <formula1>Windows_Doors</formula1>
    </dataValidation>
    <dataValidation type="list" allowBlank="1" showInputMessage="1" showErrorMessage="1" sqref="F15:L16 F33 G33:L34">
      <formula1>$AB$3:$AB$16</formula1>
    </dataValidation>
    <dataValidation type="list" allowBlank="1" showInputMessage="1" showErrorMessage="1" sqref="F32:L32">
      <formula1>ConstructionType</formula1>
    </dataValidation>
    <dataValidation type="list" allowBlank="1" showInputMessage="1" showErrorMessage="1" sqref="L5:L14 L22:L31">
      <formula1>Ceiling</formula1>
    </dataValidation>
  </dataValidations>
  <printOptions/>
  <pageMargins left="0.34" right="0.35" top="0.51" bottom="1" header="0.5" footer="0.5"/>
  <pageSetup fitToHeight="1" fitToWidth="1" horizontalDpi="600" verticalDpi="600" orientation="landscape" paperSize="9" scale="28" r:id="rId3"/>
  <legacyDrawing r:id="rId2"/>
</worksheet>
</file>

<file path=xl/worksheets/sheet2.xml><?xml version="1.0" encoding="utf-8"?>
<worksheet xmlns="http://schemas.openxmlformats.org/spreadsheetml/2006/main" xmlns:r="http://schemas.openxmlformats.org/officeDocument/2006/relationships">
  <dimension ref="A1:K97"/>
  <sheetViews>
    <sheetView zoomScalePageLayoutView="0" workbookViewId="0" topLeftCell="A1">
      <selection activeCell="A32" sqref="A32"/>
    </sheetView>
  </sheetViews>
  <sheetFormatPr defaultColWidth="9.140625" defaultRowHeight="12.75"/>
  <cols>
    <col min="1" max="1" width="50.00390625" style="0" bestFit="1" customWidth="1"/>
    <col min="2" max="2" width="9.8515625" style="0" customWidth="1"/>
    <col min="3" max="3" width="12.140625" style="0" customWidth="1"/>
    <col min="4" max="4" width="19.140625" style="0" bestFit="1" customWidth="1"/>
    <col min="5" max="5" width="12.00390625" style="0" bestFit="1" customWidth="1"/>
    <col min="6" max="6" width="32.00390625" style="0" customWidth="1"/>
    <col min="7" max="7" width="50.8515625" style="0" bestFit="1" customWidth="1"/>
    <col min="8" max="8" width="20.140625" style="0" bestFit="1" customWidth="1"/>
    <col min="9" max="9" width="7.00390625" style="0" bestFit="1" customWidth="1"/>
  </cols>
  <sheetData>
    <row r="1" ht="12.75">
      <c r="D1" t="s">
        <v>33</v>
      </c>
    </row>
    <row r="3" spans="1:10" ht="12.75">
      <c r="A3" s="4" t="s">
        <v>85</v>
      </c>
      <c r="B3" s="4" t="s">
        <v>21</v>
      </c>
      <c r="C3" s="4" t="s">
        <v>22</v>
      </c>
      <c r="D3" s="4" t="s">
        <v>23</v>
      </c>
      <c r="E3" s="4" t="s">
        <v>24</v>
      </c>
      <c r="G3" s="4"/>
      <c r="H3" s="4"/>
      <c r="J3" t="s">
        <v>13</v>
      </c>
    </row>
    <row r="4" spans="1:10" ht="12.75">
      <c r="A4" s="24" t="s">
        <v>54</v>
      </c>
      <c r="J4" t="s">
        <v>32</v>
      </c>
    </row>
    <row r="5" spans="1:4" ht="12.75">
      <c r="A5" t="s">
        <v>81</v>
      </c>
      <c r="D5">
        <v>0</v>
      </c>
    </row>
    <row r="6" spans="1:5" ht="12.75">
      <c r="A6" t="s">
        <v>9</v>
      </c>
      <c r="B6">
        <v>0.205</v>
      </c>
      <c r="C6">
        <v>0.84</v>
      </c>
      <c r="D6">
        <f>B6/C6</f>
        <v>0.24404761904761904</v>
      </c>
      <c r="E6">
        <f aca="true" t="shared" si="0" ref="E6:E17">1/D6</f>
        <v>4.097560975609756</v>
      </c>
    </row>
    <row r="7" spans="1:5" ht="12.75">
      <c r="A7" t="s">
        <v>83</v>
      </c>
      <c r="B7">
        <v>0.1</v>
      </c>
      <c r="C7">
        <v>0.84</v>
      </c>
      <c r="D7">
        <f>B7/C7</f>
        <v>0.11904761904761905</v>
      </c>
      <c r="E7">
        <f t="shared" si="0"/>
        <v>8.4</v>
      </c>
    </row>
    <row r="8" spans="1:5" ht="12.75">
      <c r="A8" t="s">
        <v>84</v>
      </c>
      <c r="B8">
        <v>0.1</v>
      </c>
      <c r="C8">
        <v>0.62</v>
      </c>
      <c r="D8">
        <f>B8/C8</f>
        <v>0.16129032258064518</v>
      </c>
      <c r="E8">
        <f t="shared" si="0"/>
        <v>6.199999999999999</v>
      </c>
    </row>
    <row r="9" spans="1:5" ht="12.75">
      <c r="A9" t="s">
        <v>77</v>
      </c>
      <c r="B9">
        <v>0.1</v>
      </c>
      <c r="C9">
        <v>0.18</v>
      </c>
      <c r="D9">
        <f>B9/C9</f>
        <v>0.5555555555555556</v>
      </c>
      <c r="E9">
        <f>1/D9</f>
        <v>1.7999999999999998</v>
      </c>
    </row>
    <row r="10" spans="1:5" ht="12.75">
      <c r="A10" t="s">
        <v>82</v>
      </c>
      <c r="B10">
        <v>0.1</v>
      </c>
      <c r="C10">
        <v>0.53</v>
      </c>
      <c r="D10">
        <f>B10/C10</f>
        <v>0.18867924528301888</v>
      </c>
      <c r="E10">
        <f>1/D10</f>
        <v>5.3</v>
      </c>
    </row>
    <row r="11" ht="12.75">
      <c r="A11" s="24" t="s">
        <v>100</v>
      </c>
    </row>
    <row r="12" spans="1:4" ht="12.75">
      <c r="A12" t="s">
        <v>81</v>
      </c>
      <c r="D12">
        <v>0</v>
      </c>
    </row>
    <row r="13" spans="1:5" ht="12.75">
      <c r="A13" t="s">
        <v>25</v>
      </c>
      <c r="B13">
        <v>0.013</v>
      </c>
      <c r="C13">
        <v>0.16</v>
      </c>
      <c r="D13">
        <f>B13/C13</f>
        <v>0.08124999999999999</v>
      </c>
      <c r="E13">
        <f>1/D13</f>
        <v>12.30769230769231</v>
      </c>
    </row>
    <row r="14" spans="1:5" ht="12.75">
      <c r="A14" t="s">
        <v>76</v>
      </c>
      <c r="D14">
        <v>0.35</v>
      </c>
      <c r="E14">
        <f t="shared" si="0"/>
        <v>2.857142857142857</v>
      </c>
    </row>
    <row r="15" spans="1:5" ht="12.75">
      <c r="A15" t="s">
        <v>26</v>
      </c>
      <c r="D15">
        <v>1.49</v>
      </c>
      <c r="E15">
        <f t="shared" si="0"/>
        <v>0.6711409395973155</v>
      </c>
    </row>
    <row r="16" spans="1:5" ht="12.75">
      <c r="A16" t="s">
        <v>27</v>
      </c>
      <c r="D16">
        <v>1.97</v>
      </c>
      <c r="E16">
        <f t="shared" si="0"/>
        <v>0.5076142131979695</v>
      </c>
    </row>
    <row r="17" spans="1:5" ht="12.75">
      <c r="A17" t="s">
        <v>28</v>
      </c>
      <c r="D17">
        <v>2.56</v>
      </c>
      <c r="E17">
        <f t="shared" si="0"/>
        <v>0.390625</v>
      </c>
    </row>
    <row r="18" spans="1:10" ht="12.75">
      <c r="A18" s="24" t="s">
        <v>101</v>
      </c>
      <c r="J18" t="s">
        <v>37</v>
      </c>
    </row>
    <row r="19" spans="1:10" ht="12.75">
      <c r="A19" t="s">
        <v>81</v>
      </c>
      <c r="D19">
        <v>0</v>
      </c>
      <c r="J19" t="s">
        <v>34</v>
      </c>
    </row>
    <row r="20" spans="1:5" ht="12.75">
      <c r="A20" t="s">
        <v>16</v>
      </c>
      <c r="D20">
        <f aca="true" t="shared" si="1" ref="D20:D26">1/E20</f>
        <v>0.23255813953488372</v>
      </c>
      <c r="E20">
        <v>4.3</v>
      </c>
    </row>
    <row r="21" spans="1:5" ht="12.75">
      <c r="A21" t="s">
        <v>17</v>
      </c>
      <c r="D21">
        <f t="shared" si="1"/>
        <v>0.4093327875562833</v>
      </c>
      <c r="E21">
        <v>2.443</v>
      </c>
    </row>
    <row r="22" spans="1:5" ht="12.75">
      <c r="A22" t="s">
        <v>35</v>
      </c>
      <c r="D22">
        <f t="shared" si="1"/>
        <v>0.3846153846153846</v>
      </c>
      <c r="E22">
        <v>2.6</v>
      </c>
    </row>
    <row r="23" spans="1:5" ht="12.75">
      <c r="A23" t="s">
        <v>36</v>
      </c>
      <c r="D23">
        <f t="shared" si="1"/>
        <v>0.5</v>
      </c>
      <c r="E23">
        <v>2</v>
      </c>
    </row>
    <row r="24" spans="1:5" ht="12.75">
      <c r="A24" t="s">
        <v>113</v>
      </c>
      <c r="D24">
        <f t="shared" si="1"/>
        <v>0.5353319057815845</v>
      </c>
      <c r="E24">
        <v>1.868</v>
      </c>
    </row>
    <row r="25" spans="1:5" ht="12.75">
      <c r="A25" t="s">
        <v>18</v>
      </c>
      <c r="D25">
        <f t="shared" si="1"/>
        <v>0.27027027027027023</v>
      </c>
      <c r="E25">
        <v>3.7</v>
      </c>
    </row>
    <row r="26" spans="1:5" ht="12.75">
      <c r="A26" t="s">
        <v>19</v>
      </c>
      <c r="D26">
        <f t="shared" si="1"/>
        <v>0.37453183520599254</v>
      </c>
      <c r="E26">
        <v>2.67</v>
      </c>
    </row>
    <row r="27" spans="1:8" ht="12.75">
      <c r="A27" s="24" t="s">
        <v>102</v>
      </c>
      <c r="H27" s="22"/>
    </row>
    <row r="28" spans="1:4" ht="12.75">
      <c r="A28" t="s">
        <v>81</v>
      </c>
      <c r="D28">
        <v>0</v>
      </c>
    </row>
    <row r="29" spans="1:5" ht="12.75">
      <c r="A29" s="32" t="s">
        <v>106</v>
      </c>
      <c r="B29">
        <v>0.05</v>
      </c>
      <c r="C29">
        <v>0.2778</v>
      </c>
      <c r="D29">
        <f>B29/C29</f>
        <v>0.17998560115190787</v>
      </c>
      <c r="E29">
        <f>1/D29</f>
        <v>5.555999999999999</v>
      </c>
    </row>
    <row r="30" spans="1:5" ht="12.75">
      <c r="A30" s="32" t="s">
        <v>105</v>
      </c>
      <c r="B30">
        <v>0.1</v>
      </c>
      <c r="C30">
        <v>0.2778</v>
      </c>
      <c r="D30">
        <f>B30/C30</f>
        <v>0.35997120230381574</v>
      </c>
      <c r="E30">
        <f>1/D30</f>
        <v>2.7779999999999996</v>
      </c>
    </row>
    <row r="31" spans="1:5" ht="12.75">
      <c r="A31" t="s">
        <v>86</v>
      </c>
      <c r="B31">
        <v>0.1</v>
      </c>
      <c r="C31">
        <v>0.035</v>
      </c>
      <c r="D31">
        <f>B31/C31</f>
        <v>2.857142857142857</v>
      </c>
      <c r="E31">
        <f>1/D31</f>
        <v>0.35</v>
      </c>
    </row>
    <row r="32" spans="1:5" ht="12.75">
      <c r="A32" t="s">
        <v>29</v>
      </c>
      <c r="B32">
        <v>0.1</v>
      </c>
      <c r="C32">
        <v>0.038</v>
      </c>
      <c r="D32">
        <f>B32/C32</f>
        <v>2.6315789473684212</v>
      </c>
      <c r="E32">
        <f>1/D32</f>
        <v>0.37999999999999995</v>
      </c>
    </row>
    <row r="33" spans="1:5" ht="12.75">
      <c r="A33" t="s">
        <v>87</v>
      </c>
      <c r="B33">
        <v>0.1</v>
      </c>
      <c r="C33">
        <v>0.025</v>
      </c>
      <c r="D33">
        <f aca="true" t="shared" si="2" ref="D33:D43">B33/C33</f>
        <v>4</v>
      </c>
      <c r="E33">
        <f aca="true" t="shared" si="3" ref="E33:E47">1/D33</f>
        <v>0.25</v>
      </c>
    </row>
    <row r="34" spans="1:5" ht="12.75">
      <c r="A34" t="s">
        <v>88</v>
      </c>
      <c r="B34">
        <v>0.1</v>
      </c>
      <c r="C34">
        <v>0.025</v>
      </c>
      <c r="D34">
        <f t="shared" si="2"/>
        <v>4</v>
      </c>
      <c r="E34">
        <f t="shared" si="3"/>
        <v>0.25</v>
      </c>
    </row>
    <row r="35" spans="1:5" ht="12.75">
      <c r="A35" t="s">
        <v>89</v>
      </c>
      <c r="B35">
        <v>0.1</v>
      </c>
      <c r="C35">
        <v>0.04</v>
      </c>
      <c r="D35">
        <f t="shared" si="2"/>
        <v>2.5</v>
      </c>
      <c r="E35">
        <f t="shared" si="3"/>
        <v>0.4</v>
      </c>
    </row>
    <row r="36" spans="1:5" ht="12.75">
      <c r="A36" t="s">
        <v>90</v>
      </c>
      <c r="B36">
        <v>0.1</v>
      </c>
      <c r="C36">
        <v>0.042</v>
      </c>
      <c r="D36">
        <f t="shared" si="2"/>
        <v>2.380952380952381</v>
      </c>
      <c r="E36">
        <f t="shared" si="3"/>
        <v>0.42</v>
      </c>
    </row>
    <row r="37" ht="12.75">
      <c r="A37" s="24" t="s">
        <v>103</v>
      </c>
    </row>
    <row r="38" spans="1:4" ht="12.75">
      <c r="A38" s="32" t="s">
        <v>81</v>
      </c>
      <c r="D38">
        <v>0</v>
      </c>
    </row>
    <row r="39" spans="1:5" ht="12.75">
      <c r="A39" t="s">
        <v>92</v>
      </c>
      <c r="B39">
        <v>0.1</v>
      </c>
      <c r="C39">
        <v>1.33</v>
      </c>
      <c r="D39">
        <f t="shared" si="2"/>
        <v>0.07518796992481203</v>
      </c>
      <c r="E39">
        <f t="shared" si="3"/>
        <v>13.3</v>
      </c>
    </row>
    <row r="40" spans="1:5" ht="12.75">
      <c r="A40" t="s">
        <v>91</v>
      </c>
      <c r="D40">
        <f>1/(D39+0.223)</f>
        <v>3.353589349201947</v>
      </c>
      <c r="E40">
        <f t="shared" si="3"/>
        <v>0.298187969924812</v>
      </c>
    </row>
    <row r="41" spans="1:5" ht="12.75">
      <c r="A41" t="s">
        <v>93</v>
      </c>
      <c r="B41">
        <v>0.022</v>
      </c>
      <c r="C41">
        <v>0.13</v>
      </c>
      <c r="D41">
        <f t="shared" si="2"/>
        <v>0.1692307692307692</v>
      </c>
      <c r="E41">
        <f t="shared" si="3"/>
        <v>5.90909090909091</v>
      </c>
    </row>
    <row r="42" spans="1:5" ht="12.75">
      <c r="A42" t="s">
        <v>95</v>
      </c>
      <c r="B42">
        <v>0.022</v>
      </c>
      <c r="C42">
        <v>0.18</v>
      </c>
      <c r="D42">
        <f t="shared" si="2"/>
        <v>0.12222222222222222</v>
      </c>
      <c r="E42">
        <f t="shared" si="3"/>
        <v>8.181818181818182</v>
      </c>
    </row>
    <row r="43" spans="1:5" ht="12.75">
      <c r="A43" t="s">
        <v>94</v>
      </c>
      <c r="B43">
        <v>0.019</v>
      </c>
      <c r="C43">
        <v>0.14</v>
      </c>
      <c r="D43">
        <f t="shared" si="2"/>
        <v>0.1357142857142857</v>
      </c>
      <c r="E43">
        <f t="shared" si="3"/>
        <v>7.36842105263158</v>
      </c>
    </row>
    <row r="44" ht="12.75">
      <c r="A44" s="24" t="s">
        <v>6</v>
      </c>
    </row>
    <row r="45" spans="1:4" ht="12.75">
      <c r="A45" t="s">
        <v>81</v>
      </c>
      <c r="D45">
        <v>0</v>
      </c>
    </row>
    <row r="46" spans="1:5" ht="12.75">
      <c r="A46" t="s">
        <v>25</v>
      </c>
      <c r="B46">
        <v>0.013</v>
      </c>
      <c r="C46">
        <v>0.16</v>
      </c>
      <c r="D46">
        <f>B46/C46</f>
        <v>0.08124999999999999</v>
      </c>
      <c r="E46">
        <f>1/D46</f>
        <v>12.30769230769231</v>
      </c>
    </row>
    <row r="47" spans="1:5" ht="12.75">
      <c r="A47" t="s">
        <v>99</v>
      </c>
      <c r="D47">
        <f>2.81682</f>
        <v>2.81682</v>
      </c>
      <c r="E47">
        <f t="shared" si="3"/>
        <v>0.35501025979650813</v>
      </c>
    </row>
    <row r="48" spans="1:11" ht="12.75">
      <c r="A48" t="s">
        <v>30</v>
      </c>
      <c r="D48">
        <v>0.123</v>
      </c>
      <c r="E48">
        <f>1/D48</f>
        <v>8.130081300813009</v>
      </c>
      <c r="F48" s="3"/>
      <c r="I48" s="3"/>
      <c r="J48" s="3"/>
      <c r="K48" s="3"/>
    </row>
    <row r="49" spans="1:5" ht="12.75">
      <c r="A49" t="s">
        <v>31</v>
      </c>
      <c r="D49">
        <v>0.08</v>
      </c>
      <c r="E49">
        <f>1/D49</f>
        <v>12.5</v>
      </c>
    </row>
    <row r="50" spans="1:5" ht="12.75">
      <c r="A50" t="s">
        <v>20</v>
      </c>
      <c r="B50">
        <v>0.1</v>
      </c>
      <c r="C50">
        <v>0.025</v>
      </c>
      <c r="D50">
        <f>B50/C50</f>
        <v>4</v>
      </c>
      <c r="E50">
        <f>1/D50</f>
        <v>0.25</v>
      </c>
    </row>
    <row r="52" spans="7:8" ht="12.75">
      <c r="G52" s="3"/>
      <c r="H52" s="3"/>
    </row>
    <row r="60" ht="12.75">
      <c r="F60" s="14"/>
    </row>
    <row r="61" spans="1:6" s="6" customFormat="1" ht="12.75">
      <c r="A61"/>
      <c r="B61"/>
      <c r="C61"/>
      <c r="D61"/>
      <c r="E61"/>
      <c r="F61" s="18"/>
    </row>
    <row r="62" ht="12.75">
      <c r="F62" s="14"/>
    </row>
    <row r="63" ht="12.75">
      <c r="F63" s="14"/>
    </row>
    <row r="64" ht="12.75">
      <c r="F64" s="14"/>
    </row>
    <row r="65" ht="12.75">
      <c r="F65" s="14"/>
    </row>
    <row r="69" spans="1:2" ht="12.75">
      <c r="A69" t="s">
        <v>13</v>
      </c>
      <c r="B69" t="s">
        <v>14</v>
      </c>
    </row>
    <row r="70" ht="12.75">
      <c r="B70" t="s">
        <v>51</v>
      </c>
    </row>
    <row r="72" ht="12.75">
      <c r="B72" s="2" t="s">
        <v>15</v>
      </c>
    </row>
    <row r="74" ht="12.75">
      <c r="B74" s="11" t="s">
        <v>52</v>
      </c>
    </row>
    <row r="76" ht="12.75">
      <c r="B76" t="s">
        <v>50</v>
      </c>
    </row>
    <row r="77" ht="13.5" thickBot="1"/>
    <row r="78" spans="2:6" ht="15">
      <c r="B78" s="29" t="s">
        <v>53</v>
      </c>
      <c r="C78" s="12"/>
      <c r="D78" s="12"/>
      <c r="E78" s="12"/>
      <c r="F78" s="25"/>
    </row>
    <row r="79" spans="2:6" ht="12.75">
      <c r="B79" s="13"/>
      <c r="C79" s="14"/>
      <c r="D79" s="14"/>
      <c r="E79" s="14"/>
      <c r="F79" s="15"/>
    </row>
    <row r="80" spans="2:6" ht="12.75">
      <c r="B80" s="13" t="s">
        <v>54</v>
      </c>
      <c r="C80" s="14">
        <v>0.123</v>
      </c>
      <c r="D80" s="14"/>
      <c r="E80" s="14"/>
      <c r="F80" s="15"/>
    </row>
    <row r="81" spans="2:6" ht="76.5">
      <c r="B81" s="30" t="s">
        <v>55</v>
      </c>
      <c r="C81" s="14">
        <v>0.104</v>
      </c>
      <c r="D81" s="14"/>
      <c r="E81" s="26" t="s">
        <v>71</v>
      </c>
      <c r="F81" s="15"/>
    </row>
    <row r="82" spans="2:6" ht="63.75">
      <c r="B82" s="30" t="s">
        <v>56</v>
      </c>
      <c r="C82" s="14">
        <v>0.148</v>
      </c>
      <c r="D82" s="14"/>
      <c r="E82" s="14"/>
      <c r="F82" s="15"/>
    </row>
    <row r="83" spans="2:6" ht="13.5" thickBot="1">
      <c r="B83" s="16"/>
      <c r="C83" s="27"/>
      <c r="D83" s="27"/>
      <c r="E83" s="27"/>
      <c r="F83" s="28"/>
    </row>
    <row r="84" spans="2:6" ht="15">
      <c r="B84" s="31" t="s">
        <v>57</v>
      </c>
      <c r="C84" s="14"/>
      <c r="D84" s="14"/>
      <c r="E84" s="14"/>
      <c r="F84" s="15"/>
    </row>
    <row r="85" spans="2:6" ht="12.75">
      <c r="B85" s="13"/>
      <c r="C85" s="14"/>
      <c r="D85" s="14"/>
      <c r="E85" s="14"/>
      <c r="F85" s="15"/>
    </row>
    <row r="86" spans="2:6" ht="12.75">
      <c r="B86" s="13" t="s">
        <v>58</v>
      </c>
      <c r="C86" s="14"/>
      <c r="D86" s="18" t="s">
        <v>59</v>
      </c>
      <c r="E86" s="18"/>
      <c r="F86" s="19"/>
    </row>
    <row r="87" spans="1:6" ht="12.75">
      <c r="A87" s="6"/>
      <c r="B87" s="17"/>
      <c r="C87" s="14"/>
      <c r="D87" s="18" t="s">
        <v>60</v>
      </c>
      <c r="E87" s="18" t="s">
        <v>61</v>
      </c>
      <c r="F87" s="19" t="s">
        <v>62</v>
      </c>
    </row>
    <row r="88" spans="2:6" ht="12.75">
      <c r="B88" s="13" t="s">
        <v>63</v>
      </c>
      <c r="C88" s="14"/>
      <c r="D88" s="18">
        <v>0.08</v>
      </c>
      <c r="E88" s="18">
        <v>0.055</v>
      </c>
      <c r="F88" s="19">
        <v>0.03</v>
      </c>
    </row>
    <row r="89" spans="2:6" ht="12.75">
      <c r="B89" s="13" t="s">
        <v>64</v>
      </c>
      <c r="C89" s="14"/>
      <c r="D89" s="18">
        <v>0.11</v>
      </c>
      <c r="E89" s="18">
        <v>0.07</v>
      </c>
      <c r="F89" s="19">
        <v>0.03</v>
      </c>
    </row>
    <row r="90" spans="2:6" ht="12.75">
      <c r="B90" s="13" t="s">
        <v>65</v>
      </c>
      <c r="C90" s="14"/>
      <c r="D90" s="18">
        <v>0.07</v>
      </c>
      <c r="E90" s="18">
        <v>0.045</v>
      </c>
      <c r="F90" s="19">
        <v>0.02</v>
      </c>
    </row>
    <row r="91" spans="2:6" ht="12.75">
      <c r="B91" s="13" t="s">
        <v>66</v>
      </c>
      <c r="C91" s="14"/>
      <c r="D91" s="18">
        <v>0.09</v>
      </c>
      <c r="E91" s="18">
        <v>0.05</v>
      </c>
      <c r="F91" s="19">
        <v>0.02</v>
      </c>
    </row>
    <row r="92" spans="2:6" ht="13.5" thickBot="1">
      <c r="B92" s="16" t="s">
        <v>67</v>
      </c>
      <c r="C92" s="14"/>
      <c r="D92" s="20">
        <v>0.07</v>
      </c>
      <c r="E92" s="20">
        <v>0.04</v>
      </c>
      <c r="F92" s="21"/>
    </row>
    <row r="93" spans="2:6" ht="12.75">
      <c r="B93" s="13"/>
      <c r="C93" s="12"/>
      <c r="D93" s="14"/>
      <c r="E93" s="14"/>
      <c r="F93" s="15"/>
    </row>
    <row r="94" spans="2:6" ht="12.75">
      <c r="B94" s="13" t="s">
        <v>68</v>
      </c>
      <c r="C94" s="14"/>
      <c r="D94" s="14"/>
      <c r="E94" s="14"/>
      <c r="F94" s="15"/>
    </row>
    <row r="95" spans="2:6" ht="12.75">
      <c r="B95" s="13" t="s">
        <v>69</v>
      </c>
      <c r="C95" s="14"/>
      <c r="D95" s="14"/>
      <c r="E95" s="14"/>
      <c r="F95" s="15"/>
    </row>
    <row r="96" spans="2:6" ht="12.75">
      <c r="B96" s="13" t="s">
        <v>70</v>
      </c>
      <c r="C96" s="14"/>
      <c r="D96" s="14"/>
      <c r="E96" s="14"/>
      <c r="F96" s="15"/>
    </row>
    <row r="97" spans="2:6" ht="13.5" thickBot="1">
      <c r="B97" s="16"/>
      <c r="C97" s="27"/>
      <c r="D97" s="27"/>
      <c r="E97" s="27"/>
      <c r="F97" s="28"/>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14"/>
  <sheetViews>
    <sheetView zoomScalePageLayoutView="0" workbookViewId="0" topLeftCell="A1">
      <selection activeCell="H20" sqref="H20"/>
    </sheetView>
  </sheetViews>
  <sheetFormatPr defaultColWidth="9.140625" defaultRowHeight="12.75"/>
  <cols>
    <col min="1" max="1" width="12.421875" style="0" bestFit="1" customWidth="1"/>
  </cols>
  <sheetData>
    <row r="1" ht="12.75">
      <c r="A1" t="s">
        <v>107</v>
      </c>
    </row>
    <row r="2" spans="1:3" ht="12.75">
      <c r="A2">
        <v>12</v>
      </c>
      <c r="B2" t="s">
        <v>108</v>
      </c>
      <c r="C2">
        <f>((0.012^2)*(22/7))/4</f>
        <v>0.00011314285714285715</v>
      </c>
    </row>
    <row r="4" ht="12.75">
      <c r="A4" t="s">
        <v>109</v>
      </c>
    </row>
    <row r="5" spans="1:2" ht="12.75">
      <c r="A5">
        <v>72</v>
      </c>
      <c r="B5" t="s">
        <v>110</v>
      </c>
    </row>
    <row r="6" ht="12.75">
      <c r="A6">
        <v>54</v>
      </c>
    </row>
    <row r="7" ht="12.75">
      <c r="A7">
        <v>41</v>
      </c>
    </row>
    <row r="8" spans="1:2" ht="12.75">
      <c r="A8">
        <f>SUM(A5:A7)</f>
        <v>167</v>
      </c>
      <c r="B8" t="s">
        <v>115</v>
      </c>
    </row>
    <row r="13" ht="12.75">
      <c r="A13" t="s">
        <v>111</v>
      </c>
    </row>
    <row r="14" spans="1:2" ht="12.75">
      <c r="A14">
        <f>(C2*A8)*1000</f>
        <v>18.894857142857145</v>
      </c>
      <c r="B14" t="s">
        <v>112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29"/>
  <sheetViews>
    <sheetView zoomScalePageLayoutView="0" workbookViewId="0" topLeftCell="A10">
      <selection activeCell="D32" sqref="D32"/>
    </sheetView>
  </sheetViews>
  <sheetFormatPr defaultColWidth="9.140625" defaultRowHeight="12.75"/>
  <cols>
    <col min="2" max="2" width="20.28125" style="0" customWidth="1"/>
    <col min="4" max="4" width="8.8515625" style="0" bestFit="1" customWidth="1"/>
    <col min="5" max="5" width="17.7109375" style="0" customWidth="1"/>
    <col min="6" max="6" width="36.421875" style="0" customWidth="1"/>
  </cols>
  <sheetData>
    <row r="1" spans="1:2" ht="12.75">
      <c r="A1" t="s">
        <v>13</v>
      </c>
      <c r="B1" t="s">
        <v>14</v>
      </c>
    </row>
    <row r="2" ht="12.75">
      <c r="B2" t="s">
        <v>51</v>
      </c>
    </row>
    <row r="4" ht="12.75">
      <c r="B4" s="2" t="s">
        <v>15</v>
      </c>
    </row>
    <row r="6" ht="12.75">
      <c r="B6" s="11" t="s">
        <v>52</v>
      </c>
    </row>
    <row r="8" ht="12.75">
      <c r="B8" t="s">
        <v>50</v>
      </c>
    </row>
    <row r="9" ht="13.5" thickBot="1"/>
    <row r="10" spans="2:6" ht="15">
      <c r="B10" s="29" t="s">
        <v>53</v>
      </c>
      <c r="C10" s="12"/>
      <c r="D10" s="12"/>
      <c r="E10" s="12"/>
      <c r="F10" s="25"/>
    </row>
    <row r="11" spans="2:6" ht="12.75">
      <c r="B11" s="13"/>
      <c r="C11" s="14"/>
      <c r="D11" s="14"/>
      <c r="E11" s="14"/>
      <c r="F11" s="15"/>
    </row>
    <row r="12" spans="2:6" ht="12.75">
      <c r="B12" s="13" t="s">
        <v>54</v>
      </c>
      <c r="C12" s="14">
        <v>0.123</v>
      </c>
      <c r="D12" s="14"/>
      <c r="E12" s="14"/>
      <c r="F12" s="15"/>
    </row>
    <row r="13" spans="2:6" ht="51">
      <c r="B13" s="30" t="s">
        <v>55</v>
      </c>
      <c r="C13" s="14">
        <v>0.104</v>
      </c>
      <c r="D13" s="14"/>
      <c r="E13" s="26" t="s">
        <v>71</v>
      </c>
      <c r="F13" s="15"/>
    </row>
    <row r="14" spans="2:6" ht="25.5">
      <c r="B14" s="30" t="s">
        <v>56</v>
      </c>
      <c r="C14" s="14">
        <v>0.148</v>
      </c>
      <c r="D14" s="14"/>
      <c r="E14" s="14"/>
      <c r="F14" s="15"/>
    </row>
    <row r="15" spans="2:6" ht="13.5" thickBot="1">
      <c r="B15" s="16"/>
      <c r="C15" s="27"/>
      <c r="D15" s="27"/>
      <c r="E15" s="27"/>
      <c r="F15" s="28"/>
    </row>
    <row r="16" spans="2:6" ht="15">
      <c r="B16" s="31" t="s">
        <v>57</v>
      </c>
      <c r="C16" s="14"/>
      <c r="D16" s="14"/>
      <c r="E16" s="14"/>
      <c r="F16" s="15"/>
    </row>
    <row r="17" spans="2:6" ht="12.75">
      <c r="B17" s="13"/>
      <c r="C17" s="14"/>
      <c r="D17" s="14"/>
      <c r="E17" s="14"/>
      <c r="F17" s="15"/>
    </row>
    <row r="18" spans="2:6" ht="12.75">
      <c r="B18" s="13" t="s">
        <v>58</v>
      </c>
      <c r="C18" s="14"/>
      <c r="D18" s="18" t="s">
        <v>59</v>
      </c>
      <c r="E18" s="18"/>
      <c r="F18" s="19"/>
    </row>
    <row r="19" spans="1:6" ht="12.75">
      <c r="A19" s="6"/>
      <c r="B19" s="17"/>
      <c r="C19" s="14"/>
      <c r="D19" s="18" t="s">
        <v>60</v>
      </c>
      <c r="E19" s="18" t="s">
        <v>61</v>
      </c>
      <c r="F19" s="19" t="s">
        <v>62</v>
      </c>
    </row>
    <row r="20" spans="2:6" ht="12.75">
      <c r="B20" s="13" t="s">
        <v>63</v>
      </c>
      <c r="C20" s="14"/>
      <c r="D20" s="18">
        <v>0.08</v>
      </c>
      <c r="E20" s="18">
        <v>0.055</v>
      </c>
      <c r="F20" s="19">
        <v>0.03</v>
      </c>
    </row>
    <row r="21" spans="2:6" ht="12.75">
      <c r="B21" s="13" t="s">
        <v>64</v>
      </c>
      <c r="C21" s="14"/>
      <c r="D21" s="18">
        <v>0.11</v>
      </c>
      <c r="E21" s="18">
        <v>0.07</v>
      </c>
      <c r="F21" s="19">
        <v>0.03</v>
      </c>
    </row>
    <row r="22" spans="2:6" ht="12.75">
      <c r="B22" s="13" t="s">
        <v>65</v>
      </c>
      <c r="C22" s="14"/>
      <c r="D22" s="18">
        <v>0.07</v>
      </c>
      <c r="E22" s="18">
        <v>0.045</v>
      </c>
      <c r="F22" s="19">
        <v>0.02</v>
      </c>
    </row>
    <row r="23" spans="2:6" ht="12.75">
      <c r="B23" s="13" t="s">
        <v>66</v>
      </c>
      <c r="C23" s="14"/>
      <c r="D23" s="18">
        <v>0.09</v>
      </c>
      <c r="E23" s="18">
        <v>0.05</v>
      </c>
      <c r="F23" s="19">
        <v>0.02</v>
      </c>
    </row>
    <row r="24" spans="2:6" ht="13.5" thickBot="1">
      <c r="B24" s="16" t="s">
        <v>67</v>
      </c>
      <c r="C24" s="14"/>
      <c r="D24" s="20">
        <v>0.07</v>
      </c>
      <c r="E24" s="20">
        <v>0.04</v>
      </c>
      <c r="F24" s="21"/>
    </row>
    <row r="25" spans="2:6" ht="12.75">
      <c r="B25" s="13"/>
      <c r="C25" s="12"/>
      <c r="D25" s="14"/>
      <c r="E25" s="14"/>
      <c r="F25" s="15"/>
    </row>
    <row r="26" spans="2:6" ht="12.75">
      <c r="B26" s="13" t="s">
        <v>68</v>
      </c>
      <c r="C26" s="14"/>
      <c r="D26" s="14"/>
      <c r="E26" s="14"/>
      <c r="F26" s="15"/>
    </row>
    <row r="27" spans="2:6" ht="12.75">
      <c r="B27" s="13" t="s">
        <v>69</v>
      </c>
      <c r="C27" s="14"/>
      <c r="D27" s="14"/>
      <c r="E27" s="14"/>
      <c r="F27" s="15"/>
    </row>
    <row r="28" spans="2:6" ht="12.75">
      <c r="B28" s="13" t="s">
        <v>70</v>
      </c>
      <c r="C28" s="14"/>
      <c r="D28" s="14"/>
      <c r="E28" s="14"/>
      <c r="F28" s="15"/>
    </row>
    <row r="29" spans="2:6" ht="13.5" thickBot="1">
      <c r="B29" s="16"/>
      <c r="C29" s="27"/>
      <c r="D29" s="27"/>
      <c r="E29" s="27"/>
      <c r="F29" s="2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Caterpillar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quirkd</dc:creator>
  <cp:keywords/>
  <dc:description/>
  <cp:lastModifiedBy>David Quirk</cp:lastModifiedBy>
  <cp:lastPrinted>2012-11-28T21:27:01Z</cp:lastPrinted>
  <dcterms:created xsi:type="dcterms:W3CDTF">2012-11-14T13:00:18Z</dcterms:created>
  <dcterms:modified xsi:type="dcterms:W3CDTF">2021-03-03T12:50:47Z</dcterms:modified>
  <cp:category/>
  <cp:version/>
  <cp:contentType/>
  <cp:contentStatus/>
</cp:coreProperties>
</file>